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Historicals" sheetId="2" state="visible" r:id="rId4"/>
    <sheet name="Inputs" sheetId="3" state="visible" r:id="rId5"/>
    <sheet name="Base" sheetId="4" state="visible" r:id="rId6"/>
    <sheet name="Bull" sheetId="5" state="visible" r:id="rId7"/>
    <sheet name="Bear" sheetId="6" state="visible" r:id="rId8"/>
    <sheet name="Sensitivity" sheetId="7" state="visible" r:id="rId9"/>
    <sheet name="Comps" sheetId="8" state="visible" r:id="rId10"/>
    <sheet name="Sources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<sst xmlns="http://schemas.openxmlformats.org/spreadsheetml/2006/main" count="1151" uniqueCount="441">
  <si>
    <t xml:space="preserve">Grab Holdings (NASDAQ: GRAB) — investment thesis model</t>
  </si>
  <si>
    <t xml:space="preserve">Prepared 16-Oct-2026. $M unless stated. All figures link to the model sheets; change assumptions on 'Inputs'.</t>
  </si>
  <si>
    <t xml:space="preserve">Valuation summary</t>
  </si>
  <si>
    <t xml:space="preserve">Bear</t>
  </si>
  <si>
    <t xml:space="preserve">Base</t>
  </si>
  <si>
    <t xml:space="preserve">Bull</t>
  </si>
  <si>
    <t xml:space="preserve">Prob.-weighted</t>
  </si>
  <si>
    <t xml:space="preserve">2026E adj. EBITDA</t>
  </si>
  <si>
    <t xml:space="preserve">2027E adj. EBITDA</t>
  </si>
  <si>
    <t xml:space="preserve">2028E adj. EBITDA</t>
  </si>
  <si>
    <t xml:space="preserve">2028E FS segment EBITDA</t>
  </si>
  <si>
    <t xml:space="preserve">2028E unlevered FCF</t>
  </si>
  <si>
    <t xml:space="preserve">DCF fair value per share</t>
  </si>
  <si>
    <t xml:space="preserve">SOTP value per share</t>
  </si>
  <si>
    <t xml:space="preserve">Upside / (downside) — DCF</t>
  </si>
  <si>
    <t xml:space="preserve">Scenario probability</t>
  </si>
  <si>
    <t xml:space="preserve">Recommendation</t>
  </si>
  <si>
    <t xml:space="preserve">Current share price</t>
  </si>
  <si>
    <t xml:space="preserve">Fair value (Base DCF)</t>
  </si>
  <si>
    <t xml:space="preserve">Probability-weighted DCF value</t>
  </si>
  <si>
    <t xml:space="preserve">12-month price target (Base, rolled at cost of equity)</t>
  </si>
  <si>
    <t xml:space="preserve">Implied total return to target</t>
  </si>
  <si>
    <t xml:space="preserve">Stance</t>
  </si>
  <si>
    <t xml:space="preserve">Bear-case value (review trigger)</t>
  </si>
  <si>
    <t xml:space="preserve">Guidance &amp; target cross-checks (Base)</t>
  </si>
  <si>
    <t xml:space="preserve">Model</t>
  </si>
  <si>
    <t xml:space="preserve">Mgmt / consensus</t>
  </si>
  <si>
    <t xml:space="preserve">Difference</t>
  </si>
  <si>
    <t xml:space="preserve">Source</t>
  </si>
  <si>
    <t xml:space="preserve">2026E revenue</t>
  </si>
  <si>
    <t xml:space="preserve">FY26 guide $4.10–4.15bn (Q2'26 release); midpoint</t>
  </si>
  <si>
    <t xml:space="preserve">FY26 guide $720–740m (Q2'26 release); midpoint</t>
  </si>
  <si>
    <t xml:space="preserve">Consensus FY27F $1,081m (DBS, 21-Sep-2026)</t>
  </si>
  <si>
    <t xml:space="preserve">Mgmt 2028 target raised to $1.7bn (Atome release, 15-Sep-2026)</t>
  </si>
  <si>
    <t xml:space="preserve">2028E FS segment adj. EBITDA</t>
  </si>
  <si>
    <t xml:space="preserve">Mgmt: FS incl. Atome $500m by 2028</t>
  </si>
  <si>
    <t xml:space="preserve">2028E group gross loan book</t>
  </si>
  <si>
    <t xml:space="preserve">Mgmt: &gt;$6bn incl. Atome by 2028</t>
  </si>
  <si>
    <t xml:space="preserve">Base-case financial summary</t>
  </si>
  <si>
    <t xml:space="preserve">2024A</t>
  </si>
  <si>
    <t xml:space="preserve">2025A</t>
  </si>
  <si>
    <t xml:space="preserve">2026E</t>
  </si>
  <si>
    <t xml:space="preserve">2027E</t>
  </si>
  <si>
    <t xml:space="preserve">2028E</t>
  </si>
  <si>
    <t xml:space="preserve">2029E</t>
  </si>
  <si>
    <t xml:space="preserve">2030E</t>
  </si>
  <si>
    <t xml:space="preserve">On-Demand GMV</t>
  </si>
  <si>
    <t xml:space="preserve">Group revenue</t>
  </si>
  <si>
    <t xml:space="preserve">  growth</t>
  </si>
  <si>
    <t xml:space="preserve">Adjusted EBITDA</t>
  </si>
  <si>
    <t xml:space="preserve">  margin</t>
  </si>
  <si>
    <t xml:space="preserve">Share-based compensation</t>
  </si>
  <si>
    <t xml:space="preserve">Adj. EBIT (post-SBC)</t>
  </si>
  <si>
    <t xml:space="preserve">Unlevered FCF to Grab</t>
  </si>
  <si>
    <t xml:space="preserve">Group gross loan book</t>
  </si>
  <si>
    <t xml:space="preserve">Football field ($ per share)</t>
  </si>
  <si>
    <t xml:space="preserve">Method</t>
  </si>
  <si>
    <t xml:space="preserve">Low</t>
  </si>
  <si>
    <t xml:space="preserve">High</t>
  </si>
  <si>
    <t xml:space="preserve">Range</t>
  </si>
  <si>
    <t xml:space="preserve">Basis</t>
  </si>
  <si>
    <t xml:space="preserve">DCF (bear–bull)</t>
  </si>
  <si>
    <t xml:space="preserve">Base WACC / g from Inputs</t>
  </si>
  <si>
    <t xml:space="preserve">SOTP (bear–bull)</t>
  </si>
  <si>
    <t xml:space="preserve">10–16x on-demand, 7–12x FS</t>
  </si>
  <si>
    <t xml:space="preserve">DCF sensitivity (WACC ±1pp, g ±0.5pp)</t>
  </si>
  <si>
    <t xml:space="preserve">Base case</t>
  </si>
  <si>
    <t xml:space="preserve">Sell-side targets</t>
  </si>
  <si>
    <t xml:space="preserve">BofA $4.50 (Oct-26) to Morgan Stanley $6.25 (Jun-26)</t>
  </si>
  <si>
    <t xml:space="preserve">52-week trading range</t>
  </si>
  <si>
    <t xml:space="preserve">stockanalysis.com, 16-Oct-2026</t>
  </si>
  <si>
    <t xml:space="preserve">Current price</t>
  </si>
  <si>
    <t xml:space="preserve">Grab Holdings — reported financials ($M unless stated)</t>
  </si>
  <si>
    <t xml:space="preserve">Blue = reported figure (hardcoded). Black = formula. Unaudited management accounts per Grab press releases / 6-K filings.</t>
  </si>
  <si>
    <t xml:space="preserve">Line item</t>
  </si>
  <si>
    <t xml:space="preserve">FY2024</t>
  </si>
  <si>
    <t xml:space="preserve">FY2025</t>
  </si>
  <si>
    <t xml:space="preserve">Q1 2026</t>
  </si>
  <si>
    <t xml:space="preserve">Q2 2026</t>
  </si>
  <si>
    <t xml:space="preserve">1H 2026</t>
  </si>
  <si>
    <t xml:space="preserve">FY: Grab Q4/FY2025 results; Q1/Q2: 2026 6-K releases</t>
  </si>
  <si>
    <t xml:space="preserve">Group MTUs (m, avg)</t>
  </si>
  <si>
    <t xml:space="preserve">Partner incentives</t>
  </si>
  <si>
    <t xml:space="preserve">Consumer incentives</t>
  </si>
  <si>
    <t xml:space="preserve">Deliveries GMV</t>
  </si>
  <si>
    <t xml:space="preserve">Deliveries revenue</t>
  </si>
  <si>
    <t xml:space="preserve">Deliveries segment adj. EBITDA</t>
  </si>
  <si>
    <t xml:space="preserve">Mobility GMV</t>
  </si>
  <si>
    <t xml:space="preserve">Mobility revenue</t>
  </si>
  <si>
    <t xml:space="preserve">Mobility segment adj. EBITDA</t>
  </si>
  <si>
    <t xml:space="preserve">Financial Services revenue</t>
  </si>
  <si>
    <t xml:space="preserve">Financial Services segment adj. EBITDA</t>
  </si>
  <si>
    <t xml:space="preserve">Others revenue</t>
  </si>
  <si>
    <t xml:space="preserve">Others segment adj. EBITDA</t>
  </si>
  <si>
    <t xml:space="preserve">Total segment adj. EBITDA</t>
  </si>
  <si>
    <t xml:space="preserve">Regional corporate costs</t>
  </si>
  <si>
    <t xml:space="preserve">Operating profit/(loss)</t>
  </si>
  <si>
    <t xml:space="preserve">Profit/(loss) for the period</t>
  </si>
  <si>
    <t xml:space="preserve">Depreciation &amp; amortization</t>
  </si>
  <si>
    <t xml:space="preserve">Capital expenditures (incl. leased assets)</t>
  </si>
  <si>
    <t xml:space="preserve">Income tax paid (cash)</t>
  </si>
  <si>
    <t xml:space="preserve">Net cash from operating activities</t>
  </si>
  <si>
    <t xml:space="preserve">Adjusted free cash flow (Grab definition)</t>
  </si>
  <si>
    <t xml:space="preserve">Gross loan portfolio (period end)</t>
  </si>
  <si>
    <t xml:space="preserve">FY24/FY25 gross loans from Q4'25 release text ($586m/$1,278m); Q1/Q2 from 2026 releases</t>
  </si>
  <si>
    <t xml:space="preserve">Customer deposits — digital banks (period end)</t>
  </si>
  <si>
    <t xml:space="preserve">Checks (should be zero)</t>
  </si>
  <si>
    <t xml:space="preserve">Revenue: segments − group</t>
  </si>
  <si>
    <t xml:space="preserve">Adj. EBITDA: segments − corp − reported</t>
  </si>
  <si>
    <t xml:space="preserve">Small differences are rounding in Grab's releases</t>
  </si>
  <si>
    <t xml:space="preserve">Balance sheet / capital items at 30-Jun-2026</t>
  </si>
  <si>
    <t xml:space="preserve">Gross cash liquidity</t>
  </si>
  <si>
    <t xml:space="preserve">Q2'26 release: $7.4bn (rounded)</t>
  </si>
  <si>
    <t xml:space="preserve">Loans and borrowings (current 1,624 + non-current 409)</t>
  </si>
  <si>
    <t xml:space="preserve">Q2'26 balance sheet</t>
  </si>
  <si>
    <t xml:space="preserve">Net cash liquidity (as reported)</t>
  </si>
  <si>
    <t xml:space="preserve">Q2'26 release: $5.4bn (rounded)</t>
  </si>
  <si>
    <t xml:space="preserve">Loan receivables, net (current 1,539 + non-current 626)</t>
  </si>
  <si>
    <t xml:space="preserve">Non-controlling interests (book)</t>
  </si>
  <si>
    <t xml:space="preserve">Q2'26 balance sheet (rises on Superbank consolidation)</t>
  </si>
  <si>
    <t xml:space="preserve">Associates and joint ventures</t>
  </si>
  <si>
    <t xml:space="preserve">Class A shares outstanding (m)</t>
  </si>
  <si>
    <t xml:space="preserve">Q2'26 release</t>
  </si>
  <si>
    <t xml:space="preserve">Class B shares outstanding (m)</t>
  </si>
  <si>
    <t xml:space="preserve">Weighted avg. basic shares Q2'26 (m)</t>
  </si>
  <si>
    <t xml:space="preserve">Q2'26 release (4,084,860k)</t>
  </si>
  <si>
    <t xml:space="preserve">Weighted avg. diluted shares Q2'26 (m)</t>
  </si>
  <si>
    <t xml:space="preserve">Q2'26 release (4,168,281k)</t>
  </si>
  <si>
    <t xml:space="preserve">Inputs &amp; scenario drivers</t>
  </si>
  <si>
    <t xml:space="preserve">Blue = input. Yellow = key assumption. Change these cells only; every other sheet is formula-driven.</t>
  </si>
  <si>
    <t xml:space="preserve">1. Market data &amp; capital structure</t>
  </si>
  <si>
    <t xml:space="preserve">Item</t>
  </si>
  <si>
    <t xml:space="preserve">Value</t>
  </si>
  <si>
    <t xml:space="preserve">Unit</t>
  </si>
  <si>
    <t xml:space="preserve">Source / note</t>
  </si>
  <si>
    <t xml:space="preserve">GRAB share price</t>
  </si>
  <si>
    <t xml:space="preserve">$</t>
  </si>
  <si>
    <t xml:space="preserve">Nasdaq, intraday 16-Oct-2026 ~$2.925 (stockanalysis.com); 13-Oct close $2.98</t>
  </si>
  <si>
    <t xml:space="preserve">Years from valuation date (16-Oct-26) to 31-Dec-26</t>
  </si>
  <si>
    <t xml:space="preserve">years</t>
  </si>
  <si>
    <t xml:space="preserve">76 days / 365</t>
  </si>
  <si>
    <t xml:space="preserve">Basic shares outstanding (m)</t>
  </si>
  <si>
    <t xml:space="preserve">m</t>
  </si>
  <si>
    <t xml:space="preserve">Class A + Class B at 30-Jun-2026</t>
  </si>
  <si>
    <t xml:space="preserve">Dilutive RSUs/options (treasury method, m)</t>
  </si>
  <si>
    <t xml:space="preserve">Q2'26 weighted diluted − basic; excludes the out-of-the-money convertible</t>
  </si>
  <si>
    <t xml:space="preserve">Convertible notes principal (0%, due Jun-2030)</t>
  </si>
  <si>
    <t xml:space="preserve">$M</t>
  </si>
  <si>
    <t xml:space="preserve">Put date 15-Jun-2028; included in loans &amp; borrowings (20-F FY2025)</t>
  </si>
  <si>
    <t xml:space="preserve">Conversion price</t>
  </si>
  <si>
    <t xml:space="preserve">152.6252 shares per $1,000 (pricing release 10-Jun-2025)</t>
  </si>
  <si>
    <t xml:space="preserve">Shares on conversion (m)</t>
  </si>
  <si>
    <t xml:space="preserve">Principal / conversion price</t>
  </si>
  <si>
    <t xml:space="preserve">2. Discount rate</t>
  </si>
  <si>
    <t xml:space="preserve">Risk-free rate (US 10Y)</t>
  </si>
  <si>
    <t xml:space="preserve">%</t>
  </si>
  <si>
    <t xml:space="preserve">10Y UST 5.08–5.15% on 15/16-Oct-2026 (FRED DGS10, CNBC)</t>
  </si>
  <si>
    <t xml:space="preserve">Equity risk premium</t>
  </si>
  <si>
    <t xml:space="preserve">Mature-market ERP assumption</t>
  </si>
  <si>
    <t xml:space="preserve">Beta (levered)</t>
  </si>
  <si>
    <t xml:space="preserve">x</t>
  </si>
  <si>
    <t xml:space="preserve">Analyst choice: raw 5Y beta ~0.91 (stockanalysis) understates growth/platform risk; Uber-type peers ~1.2–1.3</t>
  </si>
  <si>
    <t xml:space="preserve">Country risk premium (SEA revenue-weighted)</t>
  </si>
  <si>
    <t xml:space="preserve">Analyst estimate: Indonesia/Philippines/Vietnam/Thailand/Malaysia weighted; Singapore ~0</t>
  </si>
  <si>
    <t xml:space="preserve">Cost of equity</t>
  </si>
  <si>
    <t xml:space="preserve">CAPM + CRP</t>
  </si>
  <si>
    <t xml:space="preserve">Pre-tax cost of debt</t>
  </si>
  <si>
    <t xml:space="preserve">Analyst estimate for a straight USD bond; convert is 0% coupon</t>
  </si>
  <si>
    <t xml:space="preserve">Long-run tax rate</t>
  </si>
  <si>
    <t xml:space="preserve">Blended SEA statutory rates (SG 17%, ID 22%, PH 25%, VN/TH 20%, MY 24%)</t>
  </si>
  <si>
    <t xml:space="preserve">Target debt / (debt + equity)</t>
  </si>
  <si>
    <t xml:space="preserve">Grab is net cash; small target leverage</t>
  </si>
  <si>
    <t xml:space="preserve">WACC</t>
  </si>
  <si>
    <t xml:space="preserve">Terminal growth (nominal USD)</t>
  </si>
  <si>
    <t xml:space="preserve">Fade from ~6-7% 2035 growth; below SEA nominal GDP</t>
  </si>
  <si>
    <t xml:space="preserve">3. Cash-flow conventions</t>
  </si>
  <si>
    <t xml:space="preserve">Cash-tax floor (% of adj. EBITDA)</t>
  </si>
  <si>
    <t xml:space="preserve">FY25 cash tax $89m = 18% of adj. EBITDA; profitable country units pay tax while corp. costs are not deductible locally</t>
  </si>
  <si>
    <t xml:space="preserve">Equity capital per $ of loan growth</t>
  </si>
  <si>
    <t xml:space="preserve">Remaining ~85% funded by deposits / warehouse lines; digital-bank capital ratios</t>
  </si>
  <si>
    <t xml:space="preserve">Net working capital investment (% of Δrevenue)</t>
  </si>
  <si>
    <t xml:space="preserve">On-demand runs negative NWC; set to zero for conservatism</t>
  </si>
  <si>
    <t xml:space="preserve">Share of FY2026E FCF still to be received</t>
  </si>
  <si>
    <t xml:space="preserve">Bridge uses 30-Jun-26 cash, so 2H26 FCF is added</t>
  </si>
  <si>
    <t xml:space="preserve">Discount period for 2H26 stub (years)</t>
  </si>
  <si>
    <t xml:space="preserve">Mostly already earned by valuation date</t>
  </si>
  <si>
    <t xml:space="preserve">Others segment revenue growth</t>
  </si>
  <si>
    <t xml:space="preserve">Immaterial segment</t>
  </si>
  <si>
    <t xml:space="preserve">Superbank loans acquired on consolidation (Jun-26)</t>
  </si>
  <si>
    <t xml:space="preserve">Derived: Q2'26 gross loans 2,318 − 2× Q2'25 781 ('ex-Superbank doubled YoY')</t>
  </si>
  <si>
    <t xml:space="preserve">4. Equity bridge items (30-Jun-2026 balance sheet + committed M&amp;A)</t>
  </si>
  <si>
    <t xml:space="preserve">Net cash liquidity</t>
  </si>
  <si>
    <t xml:space="preserve">Gross cash liquidity $7.4bn less borrowings $2.0bn (incl. $1.5bn convert)</t>
  </si>
  <si>
    <t xml:space="preserve">Customer deposits (digital banks)</t>
  </si>
  <si>
    <t xml:space="preserve">Cash backed by deposits is not free cash</t>
  </si>
  <si>
    <t xml:space="preserve">Net loan receivables</t>
  </si>
  <si>
    <t xml:space="preserve">Mostly Superbank minorities after June-26 consolidation</t>
  </si>
  <si>
    <t xml:space="preserve">Associates &amp; JVs</t>
  </si>
  <si>
    <t xml:space="preserve">foodpanda Taiwan consideration (pending close)</t>
  </si>
  <si>
    <t xml:space="preserve">Cash-free/debt-free; announced 23-Mar-2026, close expected 2H26</t>
  </si>
  <si>
    <t xml:space="preserve">Stash — 50.1% paid at close (1-Jul-26)</t>
  </si>
  <si>
    <t xml:space="preserve">Analyst est.: 50.1% × $425m EV (Feb-26 announcement)</t>
  </si>
  <si>
    <t xml:space="preserve">Stash — deferred 49.9% (FMV over 3 yrs)</t>
  </si>
  <si>
    <t xml:space="preserve">Analyst est.: 49.9% × $425m; actual price at future FMV</t>
  </si>
  <si>
    <t xml:space="preserve">Atome Phase 1 — 60% cash consideration</t>
  </si>
  <si>
    <t xml:space="preserve">Definitive agreement 15-Sep-2026; close by Q3-2027</t>
  </si>
  <si>
    <t xml:space="preserve">of which primary growth capital retained in Atome</t>
  </si>
  <si>
    <t xml:space="preserve">Stays inside the consolidated group</t>
  </si>
  <si>
    <t xml:space="preserve">5. Atome Phase 2 (remaining 40%) pricing formula</t>
  </si>
  <si>
    <t xml:space="preserve">Stake acquired in Phase 2</t>
  </si>
  <si>
    <t xml:space="preserve">~2 years after Phase 1 close</t>
  </si>
  <si>
    <t xml:space="preserve">Multiple of annualized adj. EBITDA</t>
  </si>
  <si>
    <t xml:space="preserve">Grab Atome release 15-Sep-2026</t>
  </si>
  <si>
    <t xml:space="preserve">Multiple of annualized revenue</t>
  </si>
  <si>
    <t xml:space="preserve">Grab Atome release</t>
  </si>
  <si>
    <t xml:space="preserve">Weight on EBITDA-based value</t>
  </si>
  <si>
    <t xml:space="preserve">Revenue-based value weighted 25%</t>
  </si>
  <si>
    <t xml:space="preserve">Equity valuation floor (100%)</t>
  </si>
  <si>
    <t xml:space="preserve">Equity valuation cap (100%)</t>
  </si>
  <si>
    <t xml:space="preserve">6. Scenario scalars</t>
  </si>
  <si>
    <t xml:space="preserve">Note</t>
  </si>
  <si>
    <t xml:space="preserve">Weights for the probability-weighted value</t>
  </si>
  <si>
    <t xml:space="preserve">Atome Phase 2 payment timing (years from val. date)</t>
  </si>
  <si>
    <t xml:space="preserve">≈2 yrs after Phase 1 close (bear: close slips to Jan-28)</t>
  </si>
  <si>
    <t xml:space="preserve">SOTP: On-demand EV / 2027E EBITDA (after corp. costs)</t>
  </si>
  <si>
    <t xml:space="preserve">Uber ~12x fwd, DoorDash ~19x NTM (Oct-2026)</t>
  </si>
  <si>
    <t xml:space="preserve">SOTP: Financial Services EV / 2028E EBITDA</t>
  </si>
  <si>
    <t xml:space="preserve">Discounted 1 yr at cost of equity; lending cos. trade on P/E-like multiples</t>
  </si>
  <si>
    <t xml:space="preserve">Share of corporate costs allocated to On-demand</t>
  </si>
  <si>
    <t xml:space="preserve">Analyst assumption for SOTP</t>
  </si>
  <si>
    <t xml:space="preserve">7. Scenario driver vectors (columns align with the model sheets)</t>
  </si>
  <si>
    <t xml:space="preserve">Driver</t>
  </si>
  <si>
    <t xml:space="preserve">Scenario</t>
  </si>
  <si>
    <t xml:space="preserve">2031E</t>
  </si>
  <si>
    <t xml:space="preserve">2032E</t>
  </si>
  <si>
    <t xml:space="preserve">2033E</t>
  </si>
  <si>
    <t xml:space="preserve">2034E</t>
  </si>
  <si>
    <t xml:space="preserve">2035E</t>
  </si>
  <si>
    <t xml:space="preserve">Rationale</t>
  </si>
  <si>
    <t xml:space="preserve">Deliveries GMV growth (organic)</t>
  </si>
  <si>
    <t xml:space="preserve">1H26 +24% (Q1 +25%, Q2 +22%); fades toward mature-market rates</t>
  </si>
  <si>
    <t xml:space="preserve">Deliveries take rate (revenue / GMV)</t>
  </si>
  <si>
    <t xml:space="preserve">FY25 12.6%, 1H26 12.8%; ads lift vs. affordability tiers. 2026 calibrated to FY guide</t>
  </si>
  <si>
    <t xml:space="preserve">Deliveries segment EBITDA % GMV</t>
  </si>
  <si>
    <t xml:space="preserve">FY25 2.0%, Q2'26 2.3%; ads + operating leverage</t>
  </si>
  <si>
    <t xml:space="preserve">foodpanda Taiwan GMV growth (standalone)</t>
  </si>
  <si>
    <t xml:space="preserve">2025 GMV ~$1.8bn; churn risk during app migration (early 2027)</t>
  </si>
  <si>
    <t xml:space="preserve">foodpanda Taiwan consolidation fraction</t>
  </si>
  <si>
    <t xml:space="preserve">Close expected 2H26; no completion announced as of 16-Oct-26 — base assumes 1-Jan-27</t>
  </si>
  <si>
    <t xml:space="preserve">foodpanda Taiwan take rate</t>
  </si>
  <si>
    <t xml:space="preserve">Analyst estimate (not disclosed)</t>
  </si>
  <si>
    <t xml:space="preserve">foodpanda Taiwan EBITDA % GMV</t>
  </si>
  <si>
    <t xml:space="preserve">Mgmt: ≥$60m incremental adj. EBITDA in 2028 (≈3.3% of GMV)</t>
  </si>
  <si>
    <t xml:space="preserve">Mobility GMV growth</t>
  </si>
  <si>
    <t xml:space="preserve">1H26 +20%; transactions +28% as affordability tiers dilute GMV/trip</t>
  </si>
  <si>
    <t xml:space="preserve">Mobility take rate (revenue / GMV)</t>
  </si>
  <si>
    <t xml:space="preserve">FY25 15.4%, 1H26 15.1%; Indonesia 8% cap on 2W ride-hailing</t>
  </si>
  <si>
    <t xml:space="preserve">Mobility EBITDA % GMV (before regulatory drag)</t>
  </si>
  <si>
    <t xml:space="preserve">FY25 8.7%, 1H26 8.8%; incentives elevated by fuel-cost support</t>
  </si>
  <si>
    <t xml:space="preserve">Regulatory drag on Mobility EBITDA ($M)</t>
  </si>
  <si>
    <t xml:space="preserve">Citi: $35–40m annualised from Indonesia cap; Maybank: ~10% of EBITDA if extended to 4W. Bear adds Vietnam</t>
  </si>
  <si>
    <t xml:space="preserve">Financial Services organic revenue growth</t>
  </si>
  <si>
    <t xml:space="preserve">Includes Superbank (from Jun-26) and Stash (from Jul-26); 1H26 revenue $241m</t>
  </si>
  <si>
    <t xml:space="preserve">Financial Services organic EBITDA margin</t>
  </si>
  <si>
    <t xml:space="preserve">1H26 −13%; mgmt guides FS adj. EBITDA breakeven in 2H26</t>
  </si>
  <si>
    <t xml:space="preserve">Organic gross loan book growth</t>
  </si>
  <si>
    <t xml:space="preserve">Mgmt target &gt;$3bn by end-2026 (incl. Superbank); &gt;$6bn by 2028 incl. Atome</t>
  </si>
  <si>
    <t xml:space="preserve">Atome revenue run-rate, 100% ($M)</t>
  </si>
  <si>
    <t xml:space="preserve">Analyst estimate — Atome financials not disclosed. $1bn gross loans + BNPL; anchored to Phase 1 price (~$2.0bn pre-money)</t>
  </si>
  <si>
    <t xml:space="preserve">Atome consolidation fraction</t>
  </si>
  <si>
    <t xml:space="preserve">Close 'by Q3 2027' subject to approvals; bear assumes slip to Jan-28</t>
  </si>
  <si>
    <t xml:space="preserve">Atome EBITDA margin</t>
  </si>
  <si>
    <t xml:space="preserve">Mgmt: FS incl. Atome to reach $500m adj. EBITDA by 2028</t>
  </si>
  <si>
    <t xml:space="preserve">Atome gross loans, 100% ($M)</t>
  </si>
  <si>
    <t xml:space="preserve">$1bn gross loan portfolio at signing (Sep-26)</t>
  </si>
  <si>
    <t xml:space="preserve">Atome minority share before Phase 2</t>
  </si>
  <si>
    <t xml:space="preserve">40% minority until Phase 2 (~2 yrs after Phase 1 close)</t>
  </si>
  <si>
    <t xml:space="preserve">Regional corporate cost growth</t>
  </si>
  <si>
    <t xml:space="preserve">1H26 $217m (Q2 $104m) → FY26 ≈ $425m; cloud/software inflation</t>
  </si>
  <si>
    <t xml:space="preserve">Share-based compensation % revenue</t>
  </si>
  <si>
    <t xml:space="preserve">FY25 7.2%, 1H26 7.2%; treated as a real cost in FCF</t>
  </si>
  <si>
    <t xml:space="preserve">D&amp;A % revenue</t>
  </si>
  <si>
    <t xml:space="preserve">FY25 5.3%, 1H26 5.6% (Jaya/Everrise stores, fleet)</t>
  </si>
  <si>
    <t xml:space="preserve">Capex % revenue (incl. leased assets)</t>
  </si>
  <si>
    <t xml:space="preserve">FY25 5.6%, 1H26 4.2%</t>
  </si>
  <si>
    <t xml:space="preserve">GRAB — Base case: segment model, FCF and DCF ($M unless stated)</t>
  </si>
  <si>
    <t xml:space="preserve">Historical columns link to 'Historicals'; projections link to this scenario's rows on 'Inputs'. Green = cross-sheet link, black = formula.</t>
  </si>
  <si>
    <t xml:space="preserve">Deliveries (organic)</t>
  </si>
  <si>
    <t xml:space="preserve">  take rate (revenue / GMV)</t>
  </si>
  <si>
    <t xml:space="preserve">  segment EBITDA % GMV</t>
  </si>
  <si>
    <t xml:space="preserve">foodpanda Taiwan (acquisition, reported within Deliveries)</t>
  </si>
  <si>
    <t xml:space="preserve">Taiwan GMV, 100% (standalone)</t>
  </si>
  <si>
    <t xml:space="preserve">2025 GMV ~$1.8bn (Grab/Delivery Hero, 23-Mar-26)</t>
  </si>
  <si>
    <t xml:space="preserve">  consolidation fraction</t>
  </si>
  <si>
    <t xml:space="preserve">Taiwan GMV consolidated</t>
  </si>
  <si>
    <t xml:space="preserve">  take rate</t>
  </si>
  <si>
    <t xml:space="preserve">Taiwan revenue</t>
  </si>
  <si>
    <t xml:space="preserve">  EBITDA % GMV</t>
  </si>
  <si>
    <t xml:space="preserve">Taiwan adj. EBITDA</t>
  </si>
  <si>
    <t xml:space="preserve">Mobility</t>
  </si>
  <si>
    <t xml:space="preserve">  EBITDA % GMV before regulatory drag</t>
  </si>
  <si>
    <t xml:space="preserve">Mobility EBITDA before regulatory drag</t>
  </si>
  <si>
    <t xml:space="preserve">  regulatory drag (Indonesia cap; bear adds Vietnam)</t>
  </si>
  <si>
    <t xml:space="preserve">Financial Services</t>
  </si>
  <si>
    <t xml:space="preserve">FS organic revenue (incl. Superbank, Stash)</t>
  </si>
  <si>
    <t xml:space="preserve">  organic EBITDA margin</t>
  </si>
  <si>
    <t xml:space="preserve">FS organic adj. EBITDA</t>
  </si>
  <si>
    <t xml:space="preserve">Atome revenue run-rate, 100%</t>
  </si>
  <si>
    <t xml:space="preserve">Atome revenue consolidated</t>
  </si>
  <si>
    <t xml:space="preserve">  Atome EBITDA margin</t>
  </si>
  <si>
    <t xml:space="preserve">Atome adj. EBITDA consolidated</t>
  </si>
  <si>
    <t xml:space="preserve">FS total revenue</t>
  </si>
  <si>
    <t xml:space="preserve">FS total segment adj. EBITDA</t>
  </si>
  <si>
    <t xml:space="preserve">Others</t>
  </si>
  <si>
    <t xml:space="preserve">Assumed breakeven</t>
  </si>
  <si>
    <t xml:space="preserve">Group</t>
  </si>
  <si>
    <t xml:space="preserve">On-Demand GMV (incl. Taiwan)</t>
  </si>
  <si>
    <t xml:space="preserve">  margin (% revenue)</t>
  </si>
  <si>
    <t xml:space="preserve">  check vs reported adj. EBITDA (hist.)</t>
  </si>
  <si>
    <t xml:space="preserve">Should be zero</t>
  </si>
  <si>
    <t xml:space="preserve">Below EBITDA and unlevered free cash flow</t>
  </si>
  <si>
    <t xml:space="preserve">  % revenue</t>
  </si>
  <si>
    <t xml:space="preserve">Adj. EBIT (adj. EBITDA − SBC − D&amp;A)</t>
  </si>
  <si>
    <t xml:space="preserve">Cash taxes</t>
  </si>
  <si>
    <t xml:space="preserve">max(tax rate × adj. EBIT, floor % × adj. EBITDA)</t>
  </si>
  <si>
    <t xml:space="preserve">Capex (incl. leased assets)</t>
  </si>
  <si>
    <t xml:space="preserve">Investment in net working capital</t>
  </si>
  <si>
    <t xml:space="preserve">Organic gross loan book (incl. Superbank)</t>
  </si>
  <si>
    <t xml:space="preserve">  of which acquired on consolidation</t>
  </si>
  <si>
    <t xml:space="preserve">Superbank (Jun-26): no equity capital charge on acquired balances</t>
  </si>
  <si>
    <t xml:space="preserve">Atome gross loans (once consolidated)</t>
  </si>
  <si>
    <t xml:space="preserve">Equity capital for loan growth</t>
  </si>
  <si>
    <t xml:space="preserve">Initial Atome book is paid for in the acquisition price</t>
  </si>
  <si>
    <t xml:space="preserve">Atome minority share</t>
  </si>
  <si>
    <t xml:space="preserve">Atome minority share of after-tax EBITDA</t>
  </si>
  <si>
    <t xml:space="preserve">Unlevered FCF to Grab shareholders</t>
  </si>
  <si>
    <t xml:space="preserve">  FCF / adj. EBITDA</t>
  </si>
  <si>
    <t xml:space="preserve">Discounted cash flow (valuation date 16-Oct-2026; mid-year convention)</t>
  </si>
  <si>
    <t xml:space="preserve">Share of year's FCF included</t>
  </si>
  <si>
    <t xml:space="preserve">Discount period (years)</t>
  </si>
  <si>
    <t xml:space="preserve">yrs</t>
  </si>
  <si>
    <t xml:space="preserve">Discount factor</t>
  </si>
  <si>
    <t xml:space="preserve">PV of FCF</t>
  </si>
  <si>
    <t xml:space="preserve">Sum of PV of FCF (2H26–2035)</t>
  </si>
  <si>
    <t xml:space="preserve">Terminal-year FCF (2036)</t>
  </si>
  <si>
    <t xml:space="preserve">Terminal value at end-2035 (Gordon growth)</t>
  </si>
  <si>
    <t xml:space="preserve">PV of terminal value</t>
  </si>
  <si>
    <t xml:space="preserve">Discounted at final mid-year period (mid-year convention)</t>
  </si>
  <si>
    <t xml:space="preserve">Enterprise value</t>
  </si>
  <si>
    <t xml:space="preserve">  terminal value % of EV</t>
  </si>
  <si>
    <t xml:space="preserve">  implied exit multiple: TV / 2035E adj. EBITDA</t>
  </si>
  <si>
    <t xml:space="preserve">  implied exit multiple: TV / 2035E (adj. EBITDA − SBC)</t>
  </si>
  <si>
    <t xml:space="preserve">Atome Phase 2 (remaining 40%)</t>
  </si>
  <si>
    <t xml:space="preserve">Atome 2029E revenue run-rate (100%)</t>
  </si>
  <si>
    <t xml:space="preserve">Atome 2029E adj. EBITDA run-rate (100%)</t>
  </si>
  <si>
    <t xml:space="preserve">Formula equity value (13x EBITDA ×75% + 2.5x revenue ×25%)</t>
  </si>
  <si>
    <t xml:space="preserve">After floor / cap</t>
  </si>
  <si>
    <t xml:space="preserve">Phase 2 consideration (40%)</t>
  </si>
  <si>
    <t xml:space="preserve">PV of Phase 2 consideration</t>
  </si>
  <si>
    <t xml:space="preserve">Equity bridge (balance sheet at 30-Jun-2026)</t>
  </si>
  <si>
    <t xml:space="preserve">+ Net cash liquidity</t>
  </si>
  <si>
    <t xml:space="preserve">− Deposit-funded cash not lent out (deposits − net loans)</t>
  </si>
  <si>
    <t xml:space="preserve">− Non-controlling interests (book)</t>
  </si>
  <si>
    <t xml:space="preserve">+ Associates &amp; JVs</t>
  </si>
  <si>
    <t xml:space="preserve">− foodpanda Taiwan consideration</t>
  </si>
  <si>
    <t xml:space="preserve">− Stash (paid at close + deferred)</t>
  </si>
  <si>
    <t xml:space="preserve">− Atome Phase 1 (net of primary capital retained)</t>
  </si>
  <si>
    <t xml:space="preserve">− Atome Phase 2 (PV)</t>
  </si>
  <si>
    <t xml:space="preserve">Total bridge (adjusted net cash after committed M&amp;A)</t>
  </si>
  <si>
    <t xml:space="preserve">Equity value</t>
  </si>
  <si>
    <t xml:space="preserve">Diluted shares, convert as debt (m)</t>
  </si>
  <si>
    <t xml:space="preserve">Value per share — convert as debt</t>
  </si>
  <si>
    <t xml:space="preserve">Value per share — convert as equity</t>
  </si>
  <si>
    <t xml:space="preserve">Uses if-converted only when value exceeds the $6.55 conversion price</t>
  </si>
  <si>
    <t xml:space="preserve">Upside / (downside) vs current price</t>
  </si>
  <si>
    <t xml:space="preserve">12-month target (fair value rolled at cost of equity)</t>
  </si>
  <si>
    <t xml:space="preserve">Sum-of-the-parts cross-check</t>
  </si>
  <si>
    <t xml:space="preserve">On-demand segment EBITDA 2027E (Deliveries + Taiwan + Mobility)</t>
  </si>
  <si>
    <t xml:space="preserve">− Corporate costs allocated to On-demand</t>
  </si>
  <si>
    <t xml:space="preserve">On-demand EBITDA after corporate costs</t>
  </si>
  <si>
    <t xml:space="preserve">× EV / EBITDA multiple</t>
  </si>
  <si>
    <t xml:space="preserve">On-demand EV</t>
  </si>
  <si>
    <t xml:space="preserve">FS 2028E EBITDA after remaining corporate costs</t>
  </si>
  <si>
    <t xml:space="preserve">FS EV (discounted 1 yr at cost of equity)</t>
  </si>
  <si>
    <t xml:space="preserve">SOTP enterprise value</t>
  </si>
  <si>
    <t xml:space="preserve">SOTP equity value</t>
  </si>
  <si>
    <t xml:space="preserve">GRAB — Bull case: segment model, FCF and DCF ($M unless stated)</t>
  </si>
  <si>
    <t xml:space="preserve">GRAB — Bear case: segment model, FCF and DCF ($M unless stated)</t>
  </si>
  <si>
    <t xml:space="preserve">Base case sensitivities — fair value per share ($)</t>
  </si>
  <si>
    <t xml:space="preserve">Each cell re-runs the Base DCF (FCF row, periods and bridge) at the stated WACC / terminal growth. Phase 2 PV is re-discounted at each WACC.</t>
  </si>
  <si>
    <t xml:space="preserve">Axes are centred on the live WACC and terminal growth from Inputs.</t>
  </si>
  <si>
    <t xml:space="preserve">WACC (rows) × terminal growth (columns)</t>
  </si>
  <si>
    <t xml:space="preserve">WACC \ g</t>
  </si>
  <si>
    <t xml:space="preserve">Check: centre cell = Base DCF</t>
  </si>
  <si>
    <t xml:space="preserve">What is priced in: 2028E adj. EBITDA (rows) × EV/EBITDA multiple at end-2027 (columns)</t>
  </si>
  <si>
    <t xml:space="preserve">Value = (EBITDA × multiple + Base bridge) / diluted shares, discounted 1.21 yrs at cost of equity. Ignores FCF earned before end-2027 (conservative).</t>
  </si>
  <si>
    <t xml:space="preserve">EBITDA \ x</t>
  </si>
  <si>
    <t xml:space="preserve">Base 2028E adj. EBITDA</t>
  </si>
  <si>
    <t xml:space="preserve">Mgmt 2028 target</t>
  </si>
  <si>
    <t xml:space="preserve">Multiple implied by current price on Base 2028E</t>
  </si>
  <si>
    <t xml:space="preserve">Peer multiples (reference points for the SOTP multiples)</t>
  </si>
  <si>
    <t xml:space="preserve">Third-party snapshot figures, early/mid Oct-2026. Definitions differ (NTM vs. forward FY vs. LTM); used only to frame the multiple range.</t>
  </si>
  <si>
    <t xml:space="preserve">Company</t>
  </si>
  <si>
    <t xml:space="preserve">Metric</t>
  </si>
  <si>
    <t xml:space="preserve">Multiple</t>
  </si>
  <si>
    <t xml:space="preserve">Uber</t>
  </si>
  <si>
    <t xml:space="preserve">Forward EV / EBITDA</t>
  </si>
  <si>
    <t xml:space="preserve">TIKR, 11-Oct-2026: forward EV/EBITDA fell from ~16x to ~12x in 2026</t>
  </si>
  <si>
    <t xml:space="preserve">DoorDash</t>
  </si>
  <si>
    <t xml:space="preserve">NTM EV / EBITDA</t>
  </si>
  <si>
    <t xml:space="preserve">TIKR, 11-Oct-2026: ~19x NTM, down from ~28x end-2025</t>
  </si>
  <si>
    <t xml:space="preserve">Sea Ltd</t>
  </si>
  <si>
    <t xml:space="preserve">LTM EV / EBITDA</t>
  </si>
  <si>
    <t xml:space="preserve">multiples.vc, Sep-2026 (DoorDash comps table)</t>
  </si>
  <si>
    <t xml:space="preserve">Peer median (Uber, DoorDash, Sea)</t>
  </si>
  <si>
    <t xml:space="preserve">Grab at today's price (Base case, adjusted for committed M&amp;A cash)</t>
  </si>
  <si>
    <t xml:space="preserve">Market capitalisation (diluted, $M)</t>
  </si>
  <si>
    <t xml:space="preserve">Adjusted net cash after committed M&amp;A ($M)</t>
  </si>
  <si>
    <t xml:space="preserve">Implied enterprise value ($M)</t>
  </si>
  <si>
    <t xml:space="preserve">EV / 2026E adj. EBITDA</t>
  </si>
  <si>
    <t xml:space="preserve">EV / 2027E adj. EBITDA</t>
  </si>
  <si>
    <t xml:space="preserve">EV / 2028E adj. EBITDA</t>
  </si>
  <si>
    <t xml:space="preserve">EV / 2027E (adj. EBITDA − SBC)</t>
  </si>
  <si>
    <t xml:space="preserve">2028E FCF yield on market cap</t>
  </si>
  <si>
    <t xml:space="preserve">Sources</t>
  </si>
  <si>
    <t xml:space="preserve">[1] Grab Q4 &amp; FY2025 results (6-K, 12-Feb-2026): https://www.sec.gov/Archives/edgar/data/1855612/000185561226000011/a2025q4-earningspressrelea.htm</t>
  </si>
  <si>
    <t xml:space="preserve">[2] Grab Q1 2026 results (6-K, 5-May-2026): https://www.sec.gov/Archives/edgar/data/0001855612/000185561226000077/a42026q1-earningspressrele.htm</t>
  </si>
  <si>
    <t xml:space="preserve">[3] Grab Q2 2026 results, guidance raise, $750m buyback (6-K, 4-Aug-2026): https://www.sec.gov/Archives/edgar/data/0001855612/000185561226000123/a2026q2-earningspressrelea.htm</t>
  </si>
  <si>
    <t xml:space="preserve">[4] Grab to acquire 60% of Atome Financial; 2028 targets raised to $1.7bn adj. EBITDA (15-Sep-2026): https://investors.grab.com/news-and-events/news-details/2026/Grab-to-acquire-majority-stake-in-Atome-Financial-accelerating-growth-and-profitability-of-Financial-Services-segment-2026-DVr9ZLrZC9/default.aspx</t>
  </si>
  <si>
    <t xml:space="preserve">[5] Grab to acquire foodpanda Taiwan for $600m (6-K, 23-Mar-2026): https://www.sec.gov/Archives/edgar/data/1855612/000185561226000051/foodpandtaiwan-finalannoun.htm</t>
  </si>
  <si>
    <t xml:space="preserve">[6] Superbank consolidation (6-K, 20-May-2026): https://www.sec.gov/Archives/edgar/data/0001855612/000185561226000086/pressrelease-grabxsuperban.htm</t>
  </si>
  <si>
    <t xml:space="preserve">[7] Stash acquisition, $425m EV, closed 1-Jul-2026: https://fintechnews.sg/133944/wealthtech/grab-stash/</t>
  </si>
  <si>
    <t xml:space="preserve">[8] Convertible notes terms (20-F FY2025): https://www.sec.gov/Archives/edgar/data/1855612/000185561226000020/ck0001855612-20251231.htm</t>
  </si>
  <si>
    <t xml:space="preserve">[9] Indonesia commission cap cut to 8% (The Star / Reuters, 1-May-2026): https://www.thestar.com.my/business/business-news/2026/05/01/indonesia-to-cut-ride-hailing-companies039-maximum-commission-taken-from-drivers-to-8</t>
  </si>
  <si>
    <t xml:space="preserve">[10] Maybank view on cap impact (TNGlobal, 5-May-2026): https://technode.global/2026/05/05/maybank-sees-limited-impact-on-grab-from-indonesia-eight-percent-commission-cap/</t>
  </si>
  <si>
    <t xml:space="preserve">[11] Vietnam competition regulator review (The Edge Malaysia, 12-Sep-2026): https://theedgemalaysia.com/node/817840</t>
  </si>
  <si>
    <t xml:space="preserve">[12] Consensus and stress-case EBITDA (DBS, 21-Sep-2026): https://www.dbs.com/insightsdirect/api/s3/dbs-buffer/article_attachment/20260921/17-19-41_pdf_Grab%20CG%20Sep%202026%20-%20Final_1789980504188.pdf</t>
  </si>
  <si>
    <t xml:space="preserve">[13] Share price, 52-week range, consensus target (stockanalysis.com, 16-Oct-2026): https://stockanalysis.com/stocks/grab/</t>
  </si>
  <si>
    <t xml:space="preserve">[14] Insider purchases, BofA target (StocksToTrade, Oct-2026): https://stockstotrade.com/news/grab-holdings-limited-grab-news-2026_10_15/</t>
  </si>
  <si>
    <t xml:space="preserve">[15] US 10Y Treasury (FRED DGS10): https://fred.stlouisfed.org/series/dgs10</t>
  </si>
  <si>
    <t xml:space="preserve">[16] Uber / DoorDash multiples (TIKR, Oct-2026): https://www.tikr.com/blog/doordash-stock-is-down-13-in-2026-as-revenue-grows-24-without-deliveroo-heres-where-the-stock-could-go-by-2030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</si>
</sst>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#,##0;\(#,##0\);\-"/>
    <numFmt numFmtId="166" formatCode="\$#,##0.00;&quot;($&quot;#,##0.00\);\-"/>
    <numFmt numFmtId="167" formatCode="0.0%;\(0.0%\);\-"/>
    <numFmt numFmtId="168" formatCode="#,##0.0;\(#,##0.0\);\-"/>
    <numFmt numFmtId="169" formatCode="0.00"/>
    <numFmt numFmtId="170" formatCode="0.00%;\(0.00%\);\-"/>
    <numFmt numFmtId="171" formatCode="0.0\x;\(0.0&quot;x)&quot;;\-"/>
    <numFmt numFmtId="172" formatCode="0.000"/>
    <numFmt numFmtId="173" formatCode="0.000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595959"/>
      <name val="Arial"/>
      <family val="0"/>
      <charset val="1"/>
    </font>
    <font>
      <b val="true"/>
      <sz val="10"/>
      <color theme="1"/>
      <name val="Arial"/>
      <family val="0"/>
      <charset val="1"/>
    </font>
    <font>
      <b val="true"/>
      <sz val="10"/>
      <color rgb="FF0000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D9E1F2"/>
        <bgColor rgb="FFD9D9D9"/>
      </patternFill>
    </fill>
    <fill>
      <patternFill patternType="solid">
        <fgColor rgb="FF1F3864"/>
        <bgColor rgb="FF333333"/>
      </patternFill>
    </fill>
    <fill>
      <patternFill patternType="solid">
        <fgColor rgb="FFE2EFDA"/>
        <bgColor rgb="FFD9E1F2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2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2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FFFCC"/>
      <rgbColor rgb="FFD9E1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Valuation range ($/share)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stacked"/>
        <c:varyColors val="0"/>
        <c:ser>
          <c:idx val="0"/>
          <c:order val="0"/>
          <c:tx>
            <c:strRef>
              <c:f>Summary!B47</c:f>
              <c:strCache>
                <c:ptCount val="1"/>
                <c:pt idx="0">
                  <c:v>Low</c:v>
                </c:pt>
              </c:strCache>
            </c:strRef>
          </c:tx>
          <c:spPr>
            <a:noFill/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Summary!$A$48:$A$52</c:f>
              <c:strCache>
                <c:ptCount val="5"/>
                <c:pt idx="0">
                  <c:v>DCF (bear–bull)</c:v>
                </c:pt>
                <c:pt idx="1">
                  <c:v>SOTP (bear–bull)</c:v>
                </c:pt>
                <c:pt idx="2">
                  <c:v>DCF sensitivity (WACC ±1pp, g ±0.5pp)</c:v>
                </c:pt>
                <c:pt idx="3">
                  <c:v>Sell-side targets</c:v>
                </c:pt>
                <c:pt idx="4">
                  <c:v>52-week trading range</c:v>
                </c:pt>
              </c:strCache>
            </c:strRef>
          </c:cat>
          <c:val>
            <c:numRef>
              <c:f>Summary!$B$48:$B$52</c:f>
              <c:numCache>
                <c:formatCode>\$#,##0.00;"($"#,##0.00\);\-</c:formatCode>
                <c:ptCount val="5"/>
                <c:pt idx="0">
                  <c:v>2.56208883232061</c:v>
                </c:pt>
                <c:pt idx="1">
                  <c:v>2.6974000935317</c:v>
                </c:pt>
                <c:pt idx="2">
                  <c:v>3.91368545990977</c:v>
                </c:pt>
                <c:pt idx="3">
                  <c:v>4.5</c:v>
                </c:pt>
                <c:pt idx="4">
                  <c:v>2.74</c:v>
                </c:pt>
              </c:numCache>
            </c:numRef>
          </c:val>
        </c:ser>
        <c:ser>
          <c:idx val="1"/>
          <c:order val="1"/>
          <c:tx>
            <c:strRef>
              <c:f>Summary!D47</c:f>
              <c:strCache>
                <c:ptCount val="1"/>
                <c:pt idx="0">
                  <c:v>Range</c:v>
                </c:pt>
              </c:strCache>
            </c:strRef>
          </c:tx>
          <c:spPr>
            <a:solidFill>
              <a:srgbClr val="1f3864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Summary!$A$48:$A$52</c:f>
              <c:strCache>
                <c:ptCount val="5"/>
                <c:pt idx="0">
                  <c:v>DCF (bear–bull)</c:v>
                </c:pt>
                <c:pt idx="1">
                  <c:v>SOTP (bear–bull)</c:v>
                </c:pt>
                <c:pt idx="2">
                  <c:v>DCF sensitivity (WACC ±1pp, g ±0.5pp)</c:v>
                </c:pt>
                <c:pt idx="3">
                  <c:v>Sell-side targets</c:v>
                </c:pt>
                <c:pt idx="4">
                  <c:v>52-week trading range</c:v>
                </c:pt>
              </c:strCache>
            </c:strRef>
          </c:cat>
          <c:val>
            <c:numRef>
              <c:f>Summary!$D$48:$D$52</c:f>
              <c:numCache>
                <c:formatCode>\$#,##0.00;"($"#,##0.00\);\-</c:formatCode>
                <c:ptCount val="5"/>
                <c:pt idx="0">
                  <c:v>3.1099501447501</c:v>
                </c:pt>
                <c:pt idx="1">
                  <c:v>2.89525347609264</c:v>
                </c:pt>
                <c:pt idx="2">
                  <c:v>1.66643239471439</c:v>
                </c:pt>
                <c:pt idx="3">
                  <c:v>1.75</c:v>
                </c:pt>
                <c:pt idx="4">
                  <c:v>3.5</c:v>
                </c:pt>
              </c:numCache>
            </c:numRef>
          </c:val>
        </c:ser>
        <c:gapWidth val="150"/>
        <c:overlap val="100"/>
        <c:axId val="98367863"/>
        <c:axId val="4675913"/>
      </c:barChart>
      <c:catAx>
        <c:axId val="983678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675913"/>
        <c:crosses val="autoZero"/>
        <c:auto val="1"/>
        <c:lblAlgn val="ctr"/>
        <c:lblOffset val="100"/>
        <c:noMultiLvlLbl val="0"/>
      </c:catAx>
      <c:valAx>
        <c:axId val="467591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.00;&quot;($&quot;#,##0.0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836786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2</xdr:row>
      <xdr:rowOff>160920</xdr:rowOff>
    </xdr:from>
    <xdr:to>
      <xdr:col>13</xdr:col>
      <xdr:colOff>305640</xdr:colOff>
      <xdr:row>16</xdr:row>
      <xdr:rowOff>13320</xdr:rowOff>
    </xdr:to>
    <xdr:graphicFrame>
      <xdr:nvGraphicFramePr>
        <xdr:cNvPr id="0" name="Chart 1"/>
        <xdr:cNvGraphicFramePr/>
      </xdr:nvGraphicFramePr>
      <xdr:xfrm>
        <a:off x="9304200" y="571680"/>
        <a:ext cx="575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4" min="2" style="0" width="17"/>
    <col collapsed="false" customWidth="true" hidden="false" outlineLevel="0" max="5" min="5" style="0" width="16"/>
    <col collapsed="false" customWidth="true" hidden="false" outlineLevel="0" max="8" min="6" style="0" width="17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C4" s="4"/>
      <c r="D4" s="4"/>
      <c r="E4" s="4"/>
      <c r="F4" s="4"/>
      <c r="G4" s="4"/>
      <c r="H4" s="4"/>
    </row>
    <row r="5" customFormat="false" ht="15" hidden="false" customHeight="false" outlineLevel="0" collapsed="false">
      <c r="A5" s="5"/>
      <c r="B5" s="6" t="s">
        <v>3</v>
      </c>
      <c r="C5" s="6" t="s">
        <v>4</v>
      </c>
      <c r="D5" s="6" t="s">
        <v>5</v>
      </c>
      <c r="E5" s="6" t="s">
        <v>6</v>
      </c>
    </row>
    <row r="6" customFormat="false" ht="15" hidden="false" customHeight="false" outlineLevel="0" collapsed="false">
      <c r="A6" s="7" t="s">
        <v>7</v>
      </c>
      <c r="B6" s="8" t="n">
        <f aca="false">Bear!E52</f>
        <v>694.826188</v>
      </c>
      <c r="C6" s="8" t="n">
        <f aca="false">Base!E52</f>
        <v>736.504404</v>
      </c>
      <c r="D6" s="8" t="n">
        <f aca="false">Bull!E52</f>
        <v>761.5380625</v>
      </c>
    </row>
    <row r="7" customFormat="false" ht="15" hidden="false" customHeight="false" outlineLevel="0" collapsed="false">
      <c r="A7" s="7" t="s">
        <v>8</v>
      </c>
      <c r="B7" s="8" t="n">
        <f aca="false">Bear!F52</f>
        <v>806.174129</v>
      </c>
      <c r="C7" s="8" t="n">
        <f aca="false">Base!F52</f>
        <v>1080.9868736</v>
      </c>
      <c r="D7" s="8" t="n">
        <f aca="false">Bull!F52</f>
        <v>1213.7875772</v>
      </c>
    </row>
    <row r="8" customFormat="false" ht="15" hidden="false" customHeight="false" outlineLevel="0" collapsed="false">
      <c r="A8" s="7" t="s">
        <v>9</v>
      </c>
      <c r="B8" s="8" t="n">
        <f aca="false">Bear!G52</f>
        <v>1175.87915781</v>
      </c>
      <c r="C8" s="8" t="n">
        <f aca="false">Base!G52</f>
        <v>1610.67251015</v>
      </c>
      <c r="D8" s="8" t="n">
        <f aca="false">Bull!G52</f>
        <v>1813.06960388</v>
      </c>
    </row>
    <row r="9" customFormat="false" ht="15" hidden="false" customHeight="false" outlineLevel="0" collapsed="false">
      <c r="A9" s="7" t="s">
        <v>10</v>
      </c>
      <c r="B9" s="8" t="n">
        <f aca="false">Bear!G41</f>
        <v>207.5335</v>
      </c>
      <c r="C9" s="8" t="n">
        <f aca="false">Base!G41</f>
        <v>349.810272</v>
      </c>
      <c r="D9" s="8" t="n">
        <f aca="false">Bull!G41</f>
        <v>426.644302</v>
      </c>
    </row>
    <row r="10" customFormat="false" ht="15" hidden="false" customHeight="false" outlineLevel="0" collapsed="false">
      <c r="A10" s="7" t="s">
        <v>11</v>
      </c>
      <c r="B10" s="8" t="n">
        <f aca="false">Bear!G74</f>
        <v>290.89274973126</v>
      </c>
      <c r="C10" s="8" t="n">
        <f aca="false">Base!G74</f>
        <v>461.490050351884</v>
      </c>
      <c r="D10" s="8" t="n">
        <f aca="false">Bull!G74</f>
        <v>528.436541645773</v>
      </c>
    </row>
    <row r="11" customFormat="false" ht="15" hidden="false" customHeight="false" outlineLevel="0" collapsed="false">
      <c r="A11" s="9" t="s">
        <v>12</v>
      </c>
      <c r="B11" s="10" t="n">
        <f aca="false">Bear!D113</f>
        <v>2.56208883232061</v>
      </c>
      <c r="C11" s="10" t="n">
        <f aca="false">Base!D113</f>
        <v>4.59032315570959</v>
      </c>
      <c r="D11" s="10" t="n">
        <f aca="false">Bull!D113</f>
        <v>5.6720389770707</v>
      </c>
      <c r="E11" s="11" t="n">
        <f aca="false">SUMPRODUCT(B11:D11,Inputs!B61:D61)</f>
        <v>4.35369353020262</v>
      </c>
    </row>
    <row r="12" customFormat="false" ht="15" hidden="false" customHeight="false" outlineLevel="0" collapsed="false">
      <c r="A12" s="7" t="s">
        <v>13</v>
      </c>
      <c r="B12" s="12" t="n">
        <f aca="false">Bear!D128</f>
        <v>2.6974000935317</v>
      </c>
      <c r="C12" s="12" t="n">
        <f aca="false">Base!D128</f>
        <v>4.26043009913003</v>
      </c>
      <c r="D12" s="12" t="n">
        <f aca="false">Bull!D128</f>
        <v>5.59265356962434</v>
      </c>
      <c r="E12" s="13" t="n">
        <f aca="false">SUMPRODUCT(B12:D12,Inputs!B61:D61)</f>
        <v>4.20272846535402</v>
      </c>
    </row>
    <row r="13" customFormat="false" ht="15" hidden="false" customHeight="false" outlineLevel="0" collapsed="false">
      <c r="A13" s="7" t="s">
        <v>14</v>
      </c>
      <c r="B13" s="14" t="n">
        <f aca="false">B11/Inputs!$B$6-1</f>
        <v>-0.122572317698422</v>
      </c>
      <c r="C13" s="14" t="n">
        <f aca="false">C11/Inputs!$B$6-1</f>
        <v>0.572028477982736</v>
      </c>
      <c r="D13" s="14" t="n">
        <f aca="false">D11/Inputs!$B$6-1</f>
        <v>0.942479101736542</v>
      </c>
      <c r="E13" s="14" t="n">
        <f aca="false">E11/Inputs!$B$6-1</f>
        <v>0.490990935000898</v>
      </c>
    </row>
    <row r="14" customFormat="false" ht="15" hidden="false" customHeight="false" outlineLevel="0" collapsed="false">
      <c r="A14" s="7" t="s">
        <v>15</v>
      </c>
      <c r="B14" s="15" t="n">
        <f aca="false">Inputs!B61</f>
        <v>0.25</v>
      </c>
      <c r="C14" s="15" t="n">
        <f aca="false">Inputs!C61</f>
        <v>0.5</v>
      </c>
      <c r="D14" s="15" t="n">
        <f aca="false">Inputs!D61</f>
        <v>0.25</v>
      </c>
      <c r="E14" s="14" t="n">
        <f aca="false">SUM(B14:D14)</f>
        <v>1</v>
      </c>
    </row>
    <row r="16" customFormat="false" ht="15" hidden="false" customHeight="false" outlineLevel="0" collapsed="false">
      <c r="A16" s="3" t="s">
        <v>16</v>
      </c>
      <c r="B16" s="4"/>
      <c r="C16" s="4"/>
      <c r="D16" s="4"/>
      <c r="E16" s="4"/>
      <c r="F16" s="4"/>
      <c r="G16" s="4"/>
      <c r="H16" s="4"/>
    </row>
    <row r="17" customFormat="false" ht="15" hidden="false" customHeight="false" outlineLevel="0" collapsed="false">
      <c r="A17" s="7" t="s">
        <v>17</v>
      </c>
      <c r="C17" s="12" t="n">
        <f aca="false">Inputs!$B$6</f>
        <v>2.92</v>
      </c>
    </row>
    <row r="18" customFormat="false" ht="15" hidden="false" customHeight="false" outlineLevel="0" collapsed="false">
      <c r="A18" s="7" t="s">
        <v>18</v>
      </c>
      <c r="C18" s="13" t="n">
        <f aca="false">C11</f>
        <v>4.59032315570959</v>
      </c>
    </row>
    <row r="19" customFormat="false" ht="15" hidden="false" customHeight="false" outlineLevel="0" collapsed="false">
      <c r="A19" s="7" t="s">
        <v>19</v>
      </c>
      <c r="C19" s="13" t="n">
        <f aca="false">E11</f>
        <v>4.35369353020262</v>
      </c>
    </row>
    <row r="20" customFormat="false" ht="15" hidden="false" customHeight="false" outlineLevel="0" collapsed="false">
      <c r="A20" s="7" t="s">
        <v>20</v>
      </c>
      <c r="C20" s="16" t="n">
        <f aca="false">Base!D115</f>
        <v>5.15722806543972</v>
      </c>
    </row>
    <row r="21" customFormat="false" ht="15" hidden="false" customHeight="false" outlineLevel="0" collapsed="false">
      <c r="A21" s="7" t="s">
        <v>21</v>
      </c>
      <c r="C21" s="14" t="n">
        <f aca="false">C20/C17-1</f>
        <v>0.766173995013604</v>
      </c>
    </row>
    <row r="22" customFormat="false" ht="15" hidden="false" customHeight="false" outlineLevel="0" collapsed="false">
      <c r="A22" s="9" t="s">
        <v>22</v>
      </c>
      <c r="C22" s="9" t="str">
        <f aca="false">IF(C21&gt;0.15,"LONG",IF(C21&gt;-0.1,"NEUTRAL","AVOID / SHORT"))</f>
        <v>LONG</v>
      </c>
    </row>
    <row r="23" customFormat="false" ht="15" hidden="false" customHeight="false" outlineLevel="0" collapsed="false">
      <c r="A23" s="7" t="s">
        <v>23</v>
      </c>
      <c r="C23" s="13" t="n">
        <f aca="false">B11</f>
        <v>2.56208883232061</v>
      </c>
    </row>
    <row r="25" customFormat="false" ht="15" hidden="false" customHeight="false" outlineLevel="0" collapsed="false">
      <c r="A25" s="3" t="s">
        <v>24</v>
      </c>
      <c r="B25" s="4"/>
      <c r="C25" s="4"/>
      <c r="D25" s="4"/>
      <c r="E25" s="4"/>
      <c r="F25" s="4"/>
      <c r="G25" s="4"/>
      <c r="H25" s="4"/>
    </row>
    <row r="26" customFormat="false" ht="15" hidden="false" customHeight="false" outlineLevel="0" collapsed="false">
      <c r="A26" s="5"/>
      <c r="B26" s="6" t="s">
        <v>25</v>
      </c>
      <c r="C26" s="6" t="s">
        <v>26</v>
      </c>
      <c r="D26" s="6" t="s">
        <v>27</v>
      </c>
      <c r="E26" s="6" t="s">
        <v>28</v>
      </c>
    </row>
    <row r="27" customFormat="false" ht="15" hidden="false" customHeight="false" outlineLevel="0" collapsed="false">
      <c r="A27" s="7" t="s">
        <v>29</v>
      </c>
      <c r="B27" s="8" t="n">
        <f aca="false">Base!E47</f>
        <v>4157.82193</v>
      </c>
      <c r="C27" s="17" t="n">
        <v>4125</v>
      </c>
      <c r="D27" s="14" t="n">
        <f aca="false">B27/C27-1</f>
        <v>0.00795683151515125</v>
      </c>
      <c r="E27" s="2" t="s">
        <v>30</v>
      </c>
    </row>
    <row r="28" customFormat="false" ht="15" hidden="false" customHeight="false" outlineLevel="0" collapsed="false">
      <c r="A28" s="7" t="s">
        <v>7</v>
      </c>
      <c r="B28" s="8" t="n">
        <f aca="false">Base!E52</f>
        <v>736.504404</v>
      </c>
      <c r="C28" s="17" t="n">
        <v>730</v>
      </c>
      <c r="D28" s="14" t="n">
        <f aca="false">B28/C28-1</f>
        <v>0.00891014246575317</v>
      </c>
      <c r="E28" s="2" t="s">
        <v>31</v>
      </c>
    </row>
    <row r="29" customFormat="false" ht="15" hidden="false" customHeight="false" outlineLevel="0" collapsed="false">
      <c r="A29" s="7" t="s">
        <v>8</v>
      </c>
      <c r="B29" s="8" t="n">
        <f aca="false">Base!F52</f>
        <v>1080.9868736</v>
      </c>
      <c r="C29" s="17" t="n">
        <v>1081</v>
      </c>
      <c r="D29" s="14" t="n">
        <f aca="false">B29/C29-1</f>
        <v>-1.21428307124916E-005</v>
      </c>
      <c r="E29" s="2" t="s">
        <v>32</v>
      </c>
    </row>
    <row r="30" customFormat="false" ht="15" hidden="false" customHeight="false" outlineLevel="0" collapsed="false">
      <c r="A30" s="7" t="s">
        <v>9</v>
      </c>
      <c r="B30" s="8" t="n">
        <f aca="false">Base!G52</f>
        <v>1610.67251015</v>
      </c>
      <c r="C30" s="17" t="n">
        <v>1700</v>
      </c>
      <c r="D30" s="14" t="n">
        <f aca="false">B30/C30-1</f>
        <v>-0.0525455822647064</v>
      </c>
      <c r="E30" s="2" t="s">
        <v>33</v>
      </c>
    </row>
    <row r="31" customFormat="false" ht="15" hidden="false" customHeight="false" outlineLevel="0" collapsed="false">
      <c r="A31" s="7" t="s">
        <v>34</v>
      </c>
      <c r="B31" s="8" t="n">
        <f aca="false">Base!G41</f>
        <v>349.810272</v>
      </c>
      <c r="C31" s="17" t="n">
        <v>500</v>
      </c>
      <c r="D31" s="14" t="n">
        <f aca="false">B31/C31-1</f>
        <v>-0.300379456</v>
      </c>
      <c r="E31" s="2" t="s">
        <v>35</v>
      </c>
    </row>
    <row r="32" customFormat="false" ht="15" hidden="false" customHeight="false" outlineLevel="0" collapsed="false">
      <c r="A32" s="7" t="s">
        <v>36</v>
      </c>
      <c r="B32" s="8" t="n">
        <f aca="false">Base!G70</f>
        <v>7100.2227</v>
      </c>
      <c r="C32" s="17" t="n">
        <v>6000</v>
      </c>
      <c r="D32" s="14" t="n">
        <f aca="false">B32/C32-1</f>
        <v>0.18337045</v>
      </c>
      <c r="E32" s="2" t="s">
        <v>37</v>
      </c>
    </row>
    <row r="34" customFormat="false" ht="15" hidden="false" customHeight="false" outlineLevel="0" collapsed="false">
      <c r="A34" s="3" t="s">
        <v>38</v>
      </c>
      <c r="B34" s="4"/>
      <c r="C34" s="4"/>
      <c r="D34" s="4"/>
      <c r="E34" s="4"/>
      <c r="F34" s="4"/>
      <c r="G34" s="4"/>
      <c r="H34" s="4"/>
    </row>
    <row r="35" customFormat="false" ht="15" hidden="false" customHeight="false" outlineLevel="0" collapsed="false">
      <c r="A35" s="5"/>
      <c r="B35" s="6" t="s">
        <v>39</v>
      </c>
      <c r="C35" s="6" t="s">
        <v>40</v>
      </c>
      <c r="D35" s="6" t="s">
        <v>41</v>
      </c>
      <c r="E35" s="6" t="s">
        <v>42</v>
      </c>
      <c r="F35" s="6" t="s">
        <v>43</v>
      </c>
      <c r="G35" s="6" t="s">
        <v>44</v>
      </c>
      <c r="H35" s="6" t="s">
        <v>45</v>
      </c>
    </row>
    <row r="36" customFormat="false" ht="15" hidden="false" customHeight="false" outlineLevel="0" collapsed="false">
      <c r="A36" s="7" t="s">
        <v>46</v>
      </c>
      <c r="B36" s="8" t="n">
        <f aca="false">Base!C46</f>
        <v>18364</v>
      </c>
      <c r="C36" s="8" t="n">
        <f aca="false">Base!D46</f>
        <v>22138</v>
      </c>
      <c r="D36" s="8" t="n">
        <f aca="false">Base!E46</f>
        <v>26770.11</v>
      </c>
      <c r="E36" s="8" t="n">
        <f aca="false">Base!F46</f>
        <v>32973.9422</v>
      </c>
      <c r="F36" s="8" t="n">
        <f aca="false">Base!G46</f>
        <v>37752.088054</v>
      </c>
      <c r="G36" s="8" t="n">
        <f aca="false">Base!H46</f>
        <v>42645.7841184</v>
      </c>
      <c r="H36" s="8" t="n">
        <f aca="false">Base!I46</f>
        <v>47489.0951520384</v>
      </c>
    </row>
    <row r="37" customFormat="false" ht="15" hidden="false" customHeight="false" outlineLevel="0" collapsed="false">
      <c r="A37" s="7" t="s">
        <v>47</v>
      </c>
      <c r="B37" s="8" t="n">
        <f aca="false">Base!C47</f>
        <v>2797</v>
      </c>
      <c r="C37" s="8" t="n">
        <f aca="false">Base!D47</f>
        <v>3370</v>
      </c>
      <c r="D37" s="8" t="n">
        <f aca="false">Base!E47</f>
        <v>4157.82193</v>
      </c>
      <c r="E37" s="8" t="n">
        <f aca="false">Base!F47</f>
        <v>5346.8633594</v>
      </c>
      <c r="F37" s="8" t="n">
        <f aca="false">Base!G47</f>
        <v>6798.352614228</v>
      </c>
      <c r="G37" s="8" t="n">
        <f aca="false">Base!H47</f>
        <v>7882.95894547264</v>
      </c>
      <c r="H37" s="8" t="n">
        <f aca="false">Base!I47</f>
        <v>8926.52232450367</v>
      </c>
    </row>
    <row r="38" customFormat="false" ht="15" hidden="false" customHeight="false" outlineLevel="0" collapsed="false">
      <c r="A38" s="7" t="s">
        <v>48</v>
      </c>
      <c r="B38" s="15" t="n">
        <f aca="false">Base!C48</f>
        <v>0</v>
      </c>
      <c r="C38" s="15" t="n">
        <f aca="false">Base!D48</f>
        <v>0.204862352520558</v>
      </c>
      <c r="D38" s="15" t="n">
        <f aca="false">Base!E48</f>
        <v>0.233775053412463</v>
      </c>
      <c r="E38" s="15" t="n">
        <f aca="false">Base!F48</f>
        <v>0.285976996951382</v>
      </c>
      <c r="F38" s="15" t="n">
        <f aca="false">Base!G48</f>
        <v>0.271465559761542</v>
      </c>
      <c r="G38" s="15" t="n">
        <f aca="false">Base!H48</f>
        <v>0.159539581541374</v>
      </c>
      <c r="H38" s="15" t="n">
        <f aca="false">Base!I48</f>
        <v>0.132382191287496</v>
      </c>
    </row>
    <row r="39" customFormat="false" ht="15" hidden="false" customHeight="false" outlineLevel="0" collapsed="false">
      <c r="A39" s="7" t="s">
        <v>49</v>
      </c>
      <c r="B39" s="8" t="n">
        <f aca="false">Base!C52</f>
        <v>313</v>
      </c>
      <c r="C39" s="8" t="n">
        <f aca="false">Base!D52</f>
        <v>500</v>
      </c>
      <c r="D39" s="8" t="n">
        <f aca="false">Base!E52</f>
        <v>736.504404</v>
      </c>
      <c r="E39" s="8" t="n">
        <f aca="false">Base!F52</f>
        <v>1080.9868736</v>
      </c>
      <c r="F39" s="8" t="n">
        <f aca="false">Base!G52</f>
        <v>1610.67251015</v>
      </c>
      <c r="G39" s="8" t="n">
        <f aca="false">Base!H52</f>
        <v>2022.2410988896</v>
      </c>
      <c r="H39" s="8" t="n">
        <f aca="false">Base!I52</f>
        <v>2426.62072788652</v>
      </c>
    </row>
    <row r="40" customFormat="false" ht="15" hidden="false" customHeight="false" outlineLevel="0" collapsed="false">
      <c r="A40" s="7" t="s">
        <v>50</v>
      </c>
      <c r="B40" s="15" t="n">
        <f aca="false">Base!C53</f>
        <v>0.111905613156954</v>
      </c>
      <c r="C40" s="15" t="n">
        <f aca="false">Base!D53</f>
        <v>0.148367952522255</v>
      </c>
      <c r="D40" s="15" t="n">
        <f aca="false">Base!E53</f>
        <v>0.177137072342105</v>
      </c>
      <c r="E40" s="15" t="n">
        <f aca="false">Base!F53</f>
        <v>0.202172152332934</v>
      </c>
      <c r="F40" s="15" t="n">
        <f aca="false">Base!G53</f>
        <v>0.236921001534855</v>
      </c>
      <c r="G40" s="15" t="n">
        <f aca="false">Base!H53</f>
        <v>0.256533252662824</v>
      </c>
      <c r="H40" s="15" t="n">
        <f aca="false">Base!I53</f>
        <v>0.271843909606919</v>
      </c>
    </row>
    <row r="41" customFormat="false" ht="15" hidden="false" customHeight="false" outlineLevel="0" collapsed="false">
      <c r="A41" s="7" t="s">
        <v>51</v>
      </c>
      <c r="B41" s="8" t="n">
        <f aca="false">Base!C57</f>
        <v>279</v>
      </c>
      <c r="C41" s="8" t="n">
        <f aca="false">Base!D57</f>
        <v>241</v>
      </c>
      <c r="D41" s="8" t="n">
        <f aca="false">Base!E57</f>
        <v>270.25842545</v>
      </c>
      <c r="E41" s="8" t="n">
        <f aca="false">Base!F57</f>
        <v>310.1180748452</v>
      </c>
      <c r="F41" s="8" t="n">
        <f aca="false">Base!G57</f>
        <v>353.514335939856</v>
      </c>
      <c r="G41" s="8" t="n">
        <f aca="false">Base!H57</f>
        <v>378.382029382687</v>
      </c>
      <c r="H41" s="8" t="n">
        <f aca="false">Base!I57</f>
        <v>401.693504602665</v>
      </c>
    </row>
    <row r="42" customFormat="false" ht="15" hidden="false" customHeight="false" outlineLevel="0" collapsed="false">
      <c r="A42" s="7" t="s">
        <v>52</v>
      </c>
      <c r="B42" s="8" t="n">
        <f aca="false">Base!C61</f>
        <v>-113</v>
      </c>
      <c r="C42" s="8" t="n">
        <f aca="false">Base!D61</f>
        <v>82</v>
      </c>
      <c r="D42" s="8" t="n">
        <f aca="false">Base!E61</f>
        <v>237.5657724</v>
      </c>
      <c r="E42" s="8" t="n">
        <f aca="false">Base!F61</f>
        <v>492.831904066</v>
      </c>
      <c r="F42" s="8" t="n">
        <f aca="false">Base!G61</f>
        <v>917.240543498744</v>
      </c>
      <c r="G42" s="8" t="n">
        <f aca="false">Base!H61</f>
        <v>1265.47704012423</v>
      </c>
      <c r="H42" s="8" t="n">
        <f aca="false">Base!I61</f>
        <v>1614.30719635669</v>
      </c>
    </row>
    <row r="43" customFormat="false" ht="15" hidden="false" customHeight="false" outlineLevel="0" collapsed="false">
      <c r="A43" s="7" t="s">
        <v>53</v>
      </c>
      <c r="B43" s="8" t="n">
        <f aca="false">Base!C74</f>
        <v>0</v>
      </c>
      <c r="C43" s="8" t="n">
        <f aca="false">Base!D74</f>
        <v>0</v>
      </c>
      <c r="D43" s="8" t="n">
        <f aca="false">Base!E74</f>
        <v>21.71681936</v>
      </c>
      <c r="E43" s="8" t="n">
        <f aca="false">Base!F74</f>
        <v>224.1906093904</v>
      </c>
      <c r="F43" s="8" t="n">
        <f aca="false">Base!G74</f>
        <v>461.490050351884</v>
      </c>
      <c r="G43" s="8" t="n">
        <f aca="false">Base!H74</f>
        <v>726.379348380029</v>
      </c>
      <c r="H43" s="8" t="n">
        <f aca="false">Base!I74</f>
        <v>1073.05191635729</v>
      </c>
    </row>
    <row r="44" customFormat="false" ht="15" hidden="false" customHeight="false" outlineLevel="0" collapsed="false">
      <c r="A44" s="7" t="s">
        <v>54</v>
      </c>
      <c r="B44" s="8" t="n">
        <f aca="false">Base!C70</f>
        <v>586</v>
      </c>
      <c r="C44" s="8" t="n">
        <f aca="false">Base!D70</f>
        <v>1278</v>
      </c>
      <c r="D44" s="8" t="n">
        <f aca="false">Base!E70</f>
        <v>3105.54</v>
      </c>
      <c r="E44" s="8" t="n">
        <f aca="false">Base!F70</f>
        <v>5492.479</v>
      </c>
      <c r="F44" s="8" t="n">
        <f aca="false">Base!G70</f>
        <v>7100.2227</v>
      </c>
      <c r="G44" s="8" t="n">
        <f aca="false">Base!H70</f>
        <v>8649.271694</v>
      </c>
      <c r="H44" s="8" t="n">
        <f aca="false">Base!I70</f>
        <v>10176.14059892</v>
      </c>
    </row>
    <row r="46" customFormat="false" ht="15" hidden="false" customHeight="false" outlineLevel="0" collapsed="false">
      <c r="A46" s="3" t="s">
        <v>55</v>
      </c>
      <c r="B46" s="4"/>
      <c r="C46" s="4"/>
      <c r="D46" s="4"/>
      <c r="E46" s="4"/>
      <c r="F46" s="4"/>
      <c r="G46" s="4"/>
      <c r="H46" s="4"/>
    </row>
    <row r="47" customFormat="false" ht="15" hidden="false" customHeight="false" outlineLevel="0" collapsed="false">
      <c r="A47" s="5" t="s">
        <v>56</v>
      </c>
      <c r="B47" s="6" t="s">
        <v>57</v>
      </c>
      <c r="C47" s="6" t="s">
        <v>58</v>
      </c>
      <c r="D47" s="6" t="s">
        <v>59</v>
      </c>
      <c r="E47" s="6" t="s">
        <v>60</v>
      </c>
    </row>
    <row r="48" customFormat="false" ht="15" hidden="false" customHeight="false" outlineLevel="0" collapsed="false">
      <c r="A48" s="7" t="s">
        <v>61</v>
      </c>
      <c r="B48" s="12" t="n">
        <f aca="false">B11</f>
        <v>2.56208883232061</v>
      </c>
      <c r="C48" s="12" t="n">
        <f aca="false">D11</f>
        <v>5.6720389770707</v>
      </c>
      <c r="D48" s="13" t="n">
        <f aca="false">C48-B48</f>
        <v>3.1099501447501</v>
      </c>
      <c r="E48" s="2" t="s">
        <v>62</v>
      </c>
    </row>
    <row r="49" customFormat="false" ht="15" hidden="false" customHeight="false" outlineLevel="0" collapsed="false">
      <c r="A49" s="7" t="s">
        <v>63</v>
      </c>
      <c r="B49" s="12" t="n">
        <f aca="false">B12</f>
        <v>2.6974000935317</v>
      </c>
      <c r="C49" s="12" t="n">
        <f aca="false">D12</f>
        <v>5.59265356962434</v>
      </c>
      <c r="D49" s="13" t="n">
        <f aca="false">C49-B49</f>
        <v>2.89525347609264</v>
      </c>
      <c r="E49" s="2" t="s">
        <v>64</v>
      </c>
    </row>
    <row r="50" customFormat="false" ht="15" hidden="false" customHeight="false" outlineLevel="0" collapsed="false">
      <c r="A50" s="7" t="s">
        <v>65</v>
      </c>
      <c r="B50" s="12" t="n">
        <f aca="false">MIN(Sensitivity!D7:F11)</f>
        <v>3.91368545990977</v>
      </c>
      <c r="C50" s="12" t="n">
        <f aca="false">MAX(Sensitivity!D7:F11)</f>
        <v>5.58011785462416</v>
      </c>
      <c r="D50" s="13" t="n">
        <f aca="false">C50-B50</f>
        <v>1.66643239471439</v>
      </c>
      <c r="E50" s="2" t="s">
        <v>66</v>
      </c>
    </row>
    <row r="51" customFormat="false" ht="15" hidden="false" customHeight="false" outlineLevel="0" collapsed="false">
      <c r="A51" s="7" t="s">
        <v>67</v>
      </c>
      <c r="B51" s="18" t="n">
        <v>4.5</v>
      </c>
      <c r="C51" s="18" t="n">
        <v>6.25</v>
      </c>
      <c r="D51" s="13" t="n">
        <f aca="false">C51-B51</f>
        <v>1.75</v>
      </c>
      <c r="E51" s="2" t="s">
        <v>68</v>
      </c>
    </row>
    <row r="52" customFormat="false" ht="15" hidden="false" customHeight="false" outlineLevel="0" collapsed="false">
      <c r="A52" s="7" t="s">
        <v>69</v>
      </c>
      <c r="B52" s="18" t="n">
        <v>2.74</v>
      </c>
      <c r="C52" s="18" t="n">
        <v>6.24</v>
      </c>
      <c r="D52" s="13" t="n">
        <f aca="false">C52-B52</f>
        <v>3.5</v>
      </c>
      <c r="E52" s="2" t="s">
        <v>70</v>
      </c>
    </row>
    <row r="53" customFormat="false" ht="15" hidden="false" customHeight="false" outlineLevel="0" collapsed="false">
      <c r="A53" s="7" t="s">
        <v>71</v>
      </c>
      <c r="B53" s="12" t="n">
        <f aca="false">Inputs!$B$6</f>
        <v>2.92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6" min="2" style="0" width="11"/>
    <col collapsed="false" customWidth="true" hidden="false" outlineLevel="0" max="7" min="7" style="0" width="80"/>
  </cols>
  <sheetData>
    <row r="1" customFormat="false" ht="17.35" hidden="false" customHeight="false" outlineLevel="0" collapsed="false">
      <c r="A1" s="1" t="s">
        <v>72</v>
      </c>
    </row>
    <row r="2" customFormat="false" ht="15" hidden="false" customHeight="false" outlineLevel="0" collapsed="false">
      <c r="A2" s="2" t="s">
        <v>73</v>
      </c>
    </row>
    <row r="4" customFormat="false" ht="15" hidden="false" customHeight="false" outlineLevel="0" collapsed="false">
      <c r="A4" s="5" t="s">
        <v>74</v>
      </c>
      <c r="B4" s="6" t="s">
        <v>75</v>
      </c>
      <c r="C4" s="6" t="s">
        <v>76</v>
      </c>
      <c r="D4" s="6" t="s">
        <v>77</v>
      </c>
      <c r="E4" s="6" t="s">
        <v>78</v>
      </c>
      <c r="F4" s="6" t="s">
        <v>79</v>
      </c>
      <c r="G4" s="6" t="s">
        <v>28</v>
      </c>
    </row>
    <row r="5" customFormat="false" ht="15" hidden="false" customHeight="false" outlineLevel="0" collapsed="false">
      <c r="A5" s="7" t="s">
        <v>46</v>
      </c>
      <c r="B5" s="17" t="n">
        <v>18364</v>
      </c>
      <c r="C5" s="17" t="n">
        <v>22138</v>
      </c>
      <c r="D5" s="17" t="n">
        <v>6131</v>
      </c>
      <c r="E5" s="17" t="n">
        <v>6463</v>
      </c>
      <c r="F5" s="19" t="n">
        <f aca="false">D5+E5</f>
        <v>12594</v>
      </c>
      <c r="G5" s="2" t="s">
        <v>80</v>
      </c>
    </row>
    <row r="6" customFormat="false" ht="15" hidden="false" customHeight="false" outlineLevel="0" collapsed="false">
      <c r="A6" s="7" t="s">
        <v>81</v>
      </c>
      <c r="B6" s="20" t="n">
        <v>41.3</v>
      </c>
      <c r="C6" s="20" t="n">
        <v>47.2</v>
      </c>
      <c r="D6" s="20" t="n">
        <v>51.6</v>
      </c>
      <c r="E6" s="20" t="n">
        <v>53.9</v>
      </c>
      <c r="F6" s="21" t="n">
        <f aca="false">AVERAGE(D6:E6)</f>
        <v>52.75</v>
      </c>
      <c r="G6" s="2" t="s">
        <v>80</v>
      </c>
    </row>
    <row r="7" customFormat="false" ht="15" hidden="false" customHeight="false" outlineLevel="0" collapsed="false">
      <c r="A7" s="7" t="s">
        <v>82</v>
      </c>
      <c r="B7" s="17" t="n">
        <v>755</v>
      </c>
      <c r="C7" s="17" t="n">
        <v>1002</v>
      </c>
      <c r="D7" s="17" t="n">
        <v>305</v>
      </c>
      <c r="E7" s="17" t="n">
        <v>317</v>
      </c>
      <c r="F7" s="19" t="n">
        <f aca="false">D7+E7</f>
        <v>622</v>
      </c>
      <c r="G7" s="2" t="s">
        <v>80</v>
      </c>
    </row>
    <row r="8" customFormat="false" ht="15" hidden="false" customHeight="false" outlineLevel="0" collapsed="false">
      <c r="A8" s="7" t="s">
        <v>83</v>
      </c>
      <c r="B8" s="17" t="n">
        <v>1088</v>
      </c>
      <c r="C8" s="17" t="n">
        <v>1268</v>
      </c>
      <c r="D8" s="17" t="n">
        <v>345</v>
      </c>
      <c r="E8" s="17" t="n">
        <v>389</v>
      </c>
      <c r="F8" s="19" t="n">
        <f aca="false">D8+E8</f>
        <v>734</v>
      </c>
      <c r="G8" s="2" t="s">
        <v>80</v>
      </c>
    </row>
    <row r="9" customFormat="false" ht="15" hidden="false" customHeight="false" outlineLevel="0" collapsed="false">
      <c r="A9" s="7" t="s">
        <v>84</v>
      </c>
      <c r="B9" s="17" t="n">
        <v>11723</v>
      </c>
      <c r="C9" s="17" t="n">
        <v>14236</v>
      </c>
      <c r="D9" s="17" t="n">
        <v>3908</v>
      </c>
      <c r="E9" s="17" t="n">
        <v>4249</v>
      </c>
      <c r="F9" s="19" t="n">
        <f aca="false">D9+E9</f>
        <v>8157</v>
      </c>
      <c r="G9" s="2" t="s">
        <v>80</v>
      </c>
    </row>
    <row r="10" customFormat="false" ht="15" hidden="false" customHeight="false" outlineLevel="0" collapsed="false">
      <c r="A10" s="7" t="s">
        <v>85</v>
      </c>
      <c r="B10" s="17" t="n">
        <v>1493</v>
      </c>
      <c r="C10" s="17" t="n">
        <v>1800</v>
      </c>
      <c r="D10" s="17" t="n">
        <v>510</v>
      </c>
      <c r="E10" s="17" t="n">
        <v>531</v>
      </c>
      <c r="F10" s="19" t="n">
        <f aca="false">D10+E10</f>
        <v>1041</v>
      </c>
      <c r="G10" s="2" t="s">
        <v>80</v>
      </c>
    </row>
    <row r="11" customFormat="false" ht="15" hidden="false" customHeight="false" outlineLevel="0" collapsed="false">
      <c r="A11" s="7" t="s">
        <v>86</v>
      </c>
      <c r="B11" s="17" t="n">
        <v>196</v>
      </c>
      <c r="C11" s="17" t="n">
        <v>287</v>
      </c>
      <c r="D11" s="17" t="n">
        <v>88</v>
      </c>
      <c r="E11" s="17" t="n">
        <v>96</v>
      </c>
      <c r="F11" s="19" t="n">
        <f aca="false">D11+E11</f>
        <v>184</v>
      </c>
      <c r="G11" s="2" t="s">
        <v>80</v>
      </c>
    </row>
    <row r="12" customFormat="false" ht="15" hidden="false" customHeight="false" outlineLevel="0" collapsed="false">
      <c r="A12" s="7" t="s">
        <v>87</v>
      </c>
      <c r="B12" s="17" t="n">
        <v>6640</v>
      </c>
      <c r="C12" s="17" t="n">
        <v>7901</v>
      </c>
      <c r="D12" s="17" t="n">
        <v>2223</v>
      </c>
      <c r="E12" s="17" t="n">
        <v>2214</v>
      </c>
      <c r="F12" s="19" t="n">
        <f aca="false">D12+E12</f>
        <v>4437</v>
      </c>
      <c r="G12" s="2" t="s">
        <v>80</v>
      </c>
    </row>
    <row r="13" customFormat="false" ht="15" hidden="false" customHeight="false" outlineLevel="0" collapsed="false">
      <c r="A13" s="7" t="s">
        <v>88</v>
      </c>
      <c r="B13" s="17" t="n">
        <v>1047</v>
      </c>
      <c r="C13" s="17" t="n">
        <v>1219</v>
      </c>
      <c r="D13" s="17" t="n">
        <v>337</v>
      </c>
      <c r="E13" s="17" t="n">
        <v>331</v>
      </c>
      <c r="F13" s="19" t="n">
        <f aca="false">D13+E13</f>
        <v>668</v>
      </c>
      <c r="G13" s="2" t="s">
        <v>80</v>
      </c>
    </row>
    <row r="14" customFormat="false" ht="15" hidden="false" customHeight="false" outlineLevel="0" collapsed="false">
      <c r="A14" s="7" t="s">
        <v>89</v>
      </c>
      <c r="B14" s="17" t="n">
        <v>569</v>
      </c>
      <c r="C14" s="17" t="n">
        <v>690</v>
      </c>
      <c r="D14" s="17" t="n">
        <v>198</v>
      </c>
      <c r="E14" s="17" t="n">
        <v>191</v>
      </c>
      <c r="F14" s="19" t="n">
        <f aca="false">D14+E14</f>
        <v>389</v>
      </c>
      <c r="G14" s="2" t="s">
        <v>80</v>
      </c>
    </row>
    <row r="15" customFormat="false" ht="15" hidden="false" customHeight="false" outlineLevel="0" collapsed="false">
      <c r="A15" s="7" t="s">
        <v>90</v>
      </c>
      <c r="B15" s="17" t="n">
        <v>253</v>
      </c>
      <c r="C15" s="17" t="n">
        <v>347</v>
      </c>
      <c r="D15" s="17" t="n">
        <v>107</v>
      </c>
      <c r="E15" s="17" t="n">
        <v>134</v>
      </c>
      <c r="F15" s="19" t="n">
        <f aca="false">D15+E15</f>
        <v>241</v>
      </c>
      <c r="G15" s="2" t="s">
        <v>80</v>
      </c>
    </row>
    <row r="16" customFormat="false" ht="15" hidden="false" customHeight="false" outlineLevel="0" collapsed="false">
      <c r="A16" s="7" t="s">
        <v>91</v>
      </c>
      <c r="B16" s="17" t="n">
        <v>-105</v>
      </c>
      <c r="C16" s="17" t="n">
        <v>-110</v>
      </c>
      <c r="D16" s="17" t="n">
        <v>-17</v>
      </c>
      <c r="E16" s="17" t="n">
        <v>-15</v>
      </c>
      <c r="F16" s="19" t="n">
        <f aca="false">D16+E16</f>
        <v>-32</v>
      </c>
      <c r="G16" s="2" t="s">
        <v>80</v>
      </c>
    </row>
    <row r="17" customFormat="false" ht="15" hidden="false" customHeight="false" outlineLevel="0" collapsed="false">
      <c r="A17" s="7" t="s">
        <v>92</v>
      </c>
      <c r="B17" s="17" t="n">
        <v>4</v>
      </c>
      <c r="C17" s="17" t="n">
        <v>4</v>
      </c>
      <c r="D17" s="17" t="n">
        <v>1</v>
      </c>
      <c r="E17" s="17" t="n">
        <v>1</v>
      </c>
      <c r="F17" s="19" t="n">
        <f aca="false">D17+E17</f>
        <v>2</v>
      </c>
      <c r="G17" s="2" t="s">
        <v>80</v>
      </c>
    </row>
    <row r="18" customFormat="false" ht="15" hidden="false" customHeight="false" outlineLevel="0" collapsed="false">
      <c r="A18" s="7" t="s">
        <v>93</v>
      </c>
      <c r="B18" s="17" t="n">
        <v>3</v>
      </c>
      <c r="C18" s="17" t="n">
        <v>1</v>
      </c>
      <c r="D18" s="17" t="n">
        <v>-1</v>
      </c>
      <c r="E18" s="17" t="n">
        <v>0</v>
      </c>
      <c r="F18" s="19" t="n">
        <f aca="false">D18+E18</f>
        <v>-1</v>
      </c>
      <c r="G18" s="2" t="s">
        <v>80</v>
      </c>
    </row>
    <row r="19" customFormat="false" ht="15" hidden="false" customHeight="false" outlineLevel="0" collapsed="false">
      <c r="A19" s="7" t="s">
        <v>47</v>
      </c>
      <c r="B19" s="17" t="n">
        <v>2797</v>
      </c>
      <c r="C19" s="17" t="n">
        <v>3370</v>
      </c>
      <c r="D19" s="17" t="n">
        <v>955</v>
      </c>
      <c r="E19" s="17" t="n">
        <v>997</v>
      </c>
      <c r="F19" s="19" t="n">
        <f aca="false">D19+E19</f>
        <v>1952</v>
      </c>
      <c r="G19" s="2" t="s">
        <v>80</v>
      </c>
    </row>
    <row r="20" customFormat="false" ht="15" hidden="false" customHeight="false" outlineLevel="0" collapsed="false">
      <c r="A20" s="7" t="s">
        <v>94</v>
      </c>
      <c r="B20" s="17" t="n">
        <v>663</v>
      </c>
      <c r="C20" s="17" t="n">
        <v>868</v>
      </c>
      <c r="D20" s="17" t="n">
        <v>268</v>
      </c>
      <c r="E20" s="17" t="n">
        <v>272</v>
      </c>
      <c r="F20" s="19" t="n">
        <f aca="false">D20+E20</f>
        <v>540</v>
      </c>
      <c r="G20" s="2" t="s">
        <v>80</v>
      </c>
    </row>
    <row r="21" customFormat="false" ht="15" hidden="false" customHeight="false" outlineLevel="0" collapsed="false">
      <c r="A21" s="7" t="s">
        <v>95</v>
      </c>
      <c r="B21" s="17" t="n">
        <v>350</v>
      </c>
      <c r="C21" s="17" t="n">
        <v>368</v>
      </c>
      <c r="D21" s="17" t="n">
        <v>114</v>
      </c>
      <c r="E21" s="17" t="n">
        <v>104</v>
      </c>
      <c r="F21" s="19" t="n">
        <f aca="false">D21+E21</f>
        <v>218</v>
      </c>
      <c r="G21" s="2" t="s">
        <v>80</v>
      </c>
    </row>
    <row r="22" customFormat="false" ht="15" hidden="false" customHeight="false" outlineLevel="0" collapsed="false">
      <c r="A22" s="7" t="s">
        <v>49</v>
      </c>
      <c r="B22" s="17" t="n">
        <v>313</v>
      </c>
      <c r="C22" s="17" t="n">
        <v>500</v>
      </c>
      <c r="D22" s="17" t="n">
        <v>154</v>
      </c>
      <c r="E22" s="17" t="n">
        <v>168</v>
      </c>
      <c r="F22" s="19" t="n">
        <f aca="false">D22+E22</f>
        <v>322</v>
      </c>
      <c r="G22" s="2" t="s">
        <v>80</v>
      </c>
    </row>
    <row r="23" customFormat="false" ht="15" hidden="false" customHeight="false" outlineLevel="0" collapsed="false">
      <c r="A23" s="7" t="s">
        <v>96</v>
      </c>
      <c r="B23" s="17" t="n">
        <v>-168</v>
      </c>
      <c r="C23" s="17" t="n">
        <v>65</v>
      </c>
      <c r="D23" s="17" t="n">
        <v>22</v>
      </c>
      <c r="E23" s="17" t="n">
        <v>19</v>
      </c>
      <c r="F23" s="19" t="n">
        <f aca="false">D23+E23</f>
        <v>41</v>
      </c>
      <c r="G23" s="2" t="s">
        <v>80</v>
      </c>
    </row>
    <row r="24" customFormat="false" ht="15" hidden="false" customHeight="false" outlineLevel="0" collapsed="false">
      <c r="A24" s="7" t="s">
        <v>97</v>
      </c>
      <c r="B24" s="17" t="n">
        <v>-158</v>
      </c>
      <c r="C24" s="17" t="n">
        <v>200</v>
      </c>
      <c r="D24" s="17" t="n">
        <v>120</v>
      </c>
      <c r="E24" s="17" t="n">
        <v>235</v>
      </c>
      <c r="F24" s="19" t="n">
        <f aca="false">D24+E24</f>
        <v>355</v>
      </c>
      <c r="G24" s="2" t="s">
        <v>80</v>
      </c>
    </row>
    <row r="25" customFormat="false" ht="15" hidden="false" customHeight="false" outlineLevel="0" collapsed="false">
      <c r="A25" s="7" t="s">
        <v>51</v>
      </c>
      <c r="B25" s="17" t="n">
        <v>279</v>
      </c>
      <c r="C25" s="17" t="n">
        <v>241</v>
      </c>
      <c r="D25" s="17" t="n">
        <v>78</v>
      </c>
      <c r="E25" s="17" t="n">
        <v>62</v>
      </c>
      <c r="F25" s="19" t="n">
        <f aca="false">D25+E25</f>
        <v>140</v>
      </c>
      <c r="G25" s="2" t="s">
        <v>80</v>
      </c>
    </row>
    <row r="26" customFormat="false" ht="15" hidden="false" customHeight="false" outlineLevel="0" collapsed="false">
      <c r="A26" s="7" t="s">
        <v>98</v>
      </c>
      <c r="B26" s="17" t="n">
        <v>147</v>
      </c>
      <c r="C26" s="17" t="n">
        <v>177</v>
      </c>
      <c r="D26" s="17" t="n">
        <v>54</v>
      </c>
      <c r="E26" s="17" t="n">
        <v>56</v>
      </c>
      <c r="F26" s="19" t="n">
        <f aca="false">D26+E26</f>
        <v>110</v>
      </c>
      <c r="G26" s="2" t="s">
        <v>80</v>
      </c>
    </row>
    <row r="27" customFormat="false" ht="15" hidden="false" customHeight="false" outlineLevel="0" collapsed="false">
      <c r="A27" s="7" t="s">
        <v>99</v>
      </c>
      <c r="B27" s="17" t="n">
        <v>149</v>
      </c>
      <c r="C27" s="17" t="n">
        <v>188</v>
      </c>
      <c r="D27" s="17" t="n">
        <v>33</v>
      </c>
      <c r="E27" s="17" t="n">
        <v>49</v>
      </c>
      <c r="F27" s="19" t="n">
        <f aca="false">D27+E27</f>
        <v>82</v>
      </c>
      <c r="G27" s="2" t="s">
        <v>80</v>
      </c>
    </row>
    <row r="28" customFormat="false" ht="15" hidden="false" customHeight="false" outlineLevel="0" collapsed="false">
      <c r="A28" s="7" t="s">
        <v>100</v>
      </c>
      <c r="B28" s="17" t="n">
        <v>58</v>
      </c>
      <c r="C28" s="17" t="n">
        <v>89</v>
      </c>
      <c r="D28" s="17" t="n">
        <v>10</v>
      </c>
      <c r="E28" s="17" t="n">
        <v>24</v>
      </c>
      <c r="F28" s="19" t="n">
        <f aca="false">D28+E28</f>
        <v>34</v>
      </c>
      <c r="G28" s="2" t="s">
        <v>80</v>
      </c>
    </row>
    <row r="29" customFormat="false" ht="15" hidden="false" customHeight="false" outlineLevel="0" collapsed="false">
      <c r="A29" s="7" t="s">
        <v>101</v>
      </c>
      <c r="B29" s="17" t="n">
        <v>852</v>
      </c>
      <c r="C29" s="17" t="n">
        <v>79</v>
      </c>
      <c r="D29" s="17" t="n">
        <v>-59</v>
      </c>
      <c r="E29" s="17" t="n">
        <v>56</v>
      </c>
      <c r="F29" s="19" t="n">
        <f aca="false">D29+E29</f>
        <v>-3</v>
      </c>
      <c r="G29" s="2" t="s">
        <v>80</v>
      </c>
    </row>
    <row r="30" customFormat="false" ht="15" hidden="false" customHeight="false" outlineLevel="0" collapsed="false">
      <c r="A30" s="7" t="s">
        <v>102</v>
      </c>
      <c r="B30" s="17" t="n">
        <v>162</v>
      </c>
      <c r="C30" s="17" t="n">
        <v>290</v>
      </c>
      <c r="D30" s="17" t="n">
        <v>98</v>
      </c>
      <c r="E30" s="17" t="n">
        <v>73</v>
      </c>
      <c r="F30" s="19" t="n">
        <f aca="false">D30+E30</f>
        <v>171</v>
      </c>
      <c r="G30" s="2" t="s">
        <v>80</v>
      </c>
    </row>
    <row r="31" customFormat="false" ht="15" hidden="false" customHeight="false" outlineLevel="0" collapsed="false">
      <c r="A31" s="7" t="s">
        <v>103</v>
      </c>
      <c r="B31" s="17" t="n">
        <v>586</v>
      </c>
      <c r="C31" s="17" t="n">
        <v>1278</v>
      </c>
      <c r="D31" s="17" t="n">
        <v>1438</v>
      </c>
      <c r="E31" s="17" t="n">
        <v>2318</v>
      </c>
      <c r="F31" s="19" t="n">
        <f aca="false">E31</f>
        <v>2318</v>
      </c>
      <c r="G31" s="2" t="s">
        <v>104</v>
      </c>
    </row>
    <row r="32" customFormat="false" ht="15" hidden="false" customHeight="false" outlineLevel="0" collapsed="false">
      <c r="A32" s="7" t="s">
        <v>105</v>
      </c>
      <c r="B32" s="17" t="n">
        <v>1225</v>
      </c>
      <c r="C32" s="17" t="n">
        <v>1629</v>
      </c>
      <c r="D32" s="17" t="n">
        <v>1630</v>
      </c>
      <c r="E32" s="17" t="n">
        <v>2513</v>
      </c>
      <c r="F32" s="19" t="n">
        <f aca="false">E32</f>
        <v>2513</v>
      </c>
      <c r="G32" s="2" t="s">
        <v>80</v>
      </c>
    </row>
    <row r="34" customFormat="false" ht="15" hidden="false" customHeight="false" outlineLevel="0" collapsed="false">
      <c r="A34" s="9" t="s">
        <v>106</v>
      </c>
    </row>
    <row r="35" customFormat="false" ht="15" hidden="false" customHeight="false" outlineLevel="0" collapsed="false">
      <c r="A35" s="7" t="s">
        <v>107</v>
      </c>
      <c r="B35" s="19" t="n">
        <f aca="false">B10+B13+B15+B17-B19</f>
        <v>0</v>
      </c>
      <c r="C35" s="19" t="n">
        <f aca="false">C10+C13+C15+C17-C19</f>
        <v>0</v>
      </c>
      <c r="D35" s="19" t="n">
        <f aca="false">D10+D13+D15+D17-D19</f>
        <v>0</v>
      </c>
      <c r="E35" s="19" t="n">
        <f aca="false">E10+E13+E15+E17-E19</f>
        <v>0</v>
      </c>
    </row>
    <row r="36" customFormat="false" ht="15" hidden="false" customHeight="false" outlineLevel="0" collapsed="false">
      <c r="A36" s="7" t="s">
        <v>108</v>
      </c>
      <c r="B36" s="19" t="n">
        <f aca="false">B11+B14+B16+B18-B21-B22</f>
        <v>0</v>
      </c>
      <c r="C36" s="19" t="n">
        <f aca="false">C11+C14+C16+C18-C21-C22</f>
        <v>0</v>
      </c>
      <c r="D36" s="19" t="n">
        <f aca="false">D11+D14+D16+D18-D21-D22</f>
        <v>0</v>
      </c>
      <c r="E36" s="19" t="n">
        <f aca="false">E11+E14+E16+E18-E21-E22</f>
        <v>0</v>
      </c>
      <c r="G36" s="2" t="s">
        <v>109</v>
      </c>
    </row>
    <row r="38" customFormat="false" ht="15" hidden="false" customHeight="false" outlineLevel="0" collapsed="false">
      <c r="A38" s="9" t="s">
        <v>110</v>
      </c>
    </row>
    <row r="39" customFormat="false" ht="15" hidden="false" customHeight="false" outlineLevel="0" collapsed="false">
      <c r="A39" s="7" t="s">
        <v>111</v>
      </c>
      <c r="B39" s="17" t="n">
        <v>7400</v>
      </c>
      <c r="G39" s="2" t="s">
        <v>112</v>
      </c>
    </row>
    <row r="40" customFormat="false" ht="15" hidden="false" customHeight="false" outlineLevel="0" collapsed="false">
      <c r="A40" s="7" t="s">
        <v>113</v>
      </c>
      <c r="B40" s="17" t="n">
        <v>2033</v>
      </c>
      <c r="G40" s="2" t="s">
        <v>114</v>
      </c>
    </row>
    <row r="41" customFormat="false" ht="15" hidden="false" customHeight="false" outlineLevel="0" collapsed="false">
      <c r="A41" s="7" t="s">
        <v>115</v>
      </c>
      <c r="B41" s="17" t="n">
        <v>5400</v>
      </c>
      <c r="G41" s="2" t="s">
        <v>116</v>
      </c>
    </row>
    <row r="42" customFormat="false" ht="15" hidden="false" customHeight="false" outlineLevel="0" collapsed="false">
      <c r="A42" s="7" t="s">
        <v>117</v>
      </c>
      <c r="B42" s="17" t="n">
        <v>2165</v>
      </c>
      <c r="G42" s="2" t="s">
        <v>114</v>
      </c>
    </row>
    <row r="43" customFormat="false" ht="15" hidden="false" customHeight="false" outlineLevel="0" collapsed="false">
      <c r="A43" s="7" t="s">
        <v>118</v>
      </c>
      <c r="B43" s="17" t="n">
        <v>437</v>
      </c>
      <c r="G43" s="2" t="s">
        <v>119</v>
      </c>
    </row>
    <row r="44" customFormat="false" ht="15" hidden="false" customHeight="false" outlineLevel="0" collapsed="false">
      <c r="A44" s="7" t="s">
        <v>120</v>
      </c>
      <c r="B44" s="17" t="n">
        <v>70</v>
      </c>
      <c r="G44" s="2" t="s">
        <v>114</v>
      </c>
    </row>
    <row r="45" customFormat="false" ht="15" hidden="false" customHeight="false" outlineLevel="0" collapsed="false">
      <c r="A45" s="7" t="s">
        <v>121</v>
      </c>
      <c r="B45" s="17" t="n">
        <v>3974</v>
      </c>
      <c r="G45" s="2" t="s">
        <v>122</v>
      </c>
    </row>
    <row r="46" customFormat="false" ht="15" hidden="false" customHeight="false" outlineLevel="0" collapsed="false">
      <c r="A46" s="7" t="s">
        <v>123</v>
      </c>
      <c r="B46" s="17" t="n">
        <v>105</v>
      </c>
      <c r="G46" s="2" t="s">
        <v>122</v>
      </c>
    </row>
    <row r="47" customFormat="false" ht="15" hidden="false" customHeight="false" outlineLevel="0" collapsed="false">
      <c r="A47" s="7" t="s">
        <v>124</v>
      </c>
      <c r="B47" s="17" t="n">
        <v>4085</v>
      </c>
      <c r="G47" s="2" t="s">
        <v>125</v>
      </c>
    </row>
    <row r="48" customFormat="false" ht="15" hidden="false" customHeight="false" outlineLevel="0" collapsed="false">
      <c r="A48" s="7" t="s">
        <v>126</v>
      </c>
      <c r="B48" s="17" t="n">
        <v>4168</v>
      </c>
      <c r="G48" s="2" t="s">
        <v>127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2" min="2" style="0" width="12"/>
    <col collapsed="false" customWidth="true" hidden="false" outlineLevel="0" max="3" min="3" style="0" width="9"/>
    <col collapsed="false" customWidth="true" hidden="false" outlineLevel="0" max="4" min="4" style="0" width="12"/>
    <col collapsed="false" customWidth="true" hidden="false" outlineLevel="0" max="14" min="5" style="0" width="9"/>
    <col collapsed="false" customWidth="true" hidden="false" outlineLevel="0" max="15" min="15" style="0" width="70"/>
  </cols>
  <sheetData>
    <row r="1" customFormat="false" ht="17.35" hidden="false" customHeight="false" outlineLevel="0" collapsed="false">
      <c r="A1" s="1" t="s">
        <v>128</v>
      </c>
    </row>
    <row r="2" customFormat="false" ht="15" hidden="false" customHeight="false" outlineLevel="0" collapsed="false">
      <c r="A2" s="2" t="s">
        <v>129</v>
      </c>
    </row>
    <row r="4" customFormat="false" ht="15" hidden="false" customHeight="false" outlineLevel="0" collapsed="false">
      <c r="A4" s="3" t="s">
        <v>130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customFormat="false" ht="15" hidden="false" customHeight="false" outlineLevel="0" collapsed="false">
      <c r="A5" s="5" t="s">
        <v>131</v>
      </c>
      <c r="B5" s="6" t="s">
        <v>132</v>
      </c>
      <c r="C5" s="6" t="s">
        <v>133</v>
      </c>
      <c r="D5" s="6" t="s">
        <v>134</v>
      </c>
    </row>
    <row r="6" customFormat="false" ht="15" hidden="false" customHeight="false" outlineLevel="0" collapsed="false">
      <c r="A6" s="7" t="s">
        <v>135</v>
      </c>
      <c r="B6" s="22" t="n">
        <v>2.92</v>
      </c>
      <c r="C6" s="2" t="s">
        <v>136</v>
      </c>
      <c r="D6" s="2" t="s">
        <v>137</v>
      </c>
    </row>
    <row r="7" customFormat="false" ht="15" hidden="false" customHeight="false" outlineLevel="0" collapsed="false">
      <c r="A7" s="7" t="s">
        <v>138</v>
      </c>
      <c r="B7" s="23" t="n">
        <v>0.21</v>
      </c>
      <c r="C7" s="2" t="s">
        <v>139</v>
      </c>
      <c r="D7" s="2" t="s">
        <v>140</v>
      </c>
    </row>
    <row r="8" customFormat="false" ht="15" hidden="false" customHeight="false" outlineLevel="0" collapsed="false">
      <c r="A8" s="7" t="s">
        <v>141</v>
      </c>
      <c r="B8" s="8" t="n">
        <f aca="false">Historicals!B45+Historicals!B46</f>
        <v>4079</v>
      </c>
      <c r="C8" s="2" t="s">
        <v>142</v>
      </c>
      <c r="D8" s="2" t="s">
        <v>143</v>
      </c>
    </row>
    <row r="9" customFormat="false" ht="15" hidden="false" customHeight="false" outlineLevel="0" collapsed="false">
      <c r="A9" s="7" t="s">
        <v>144</v>
      </c>
      <c r="B9" s="8" t="n">
        <f aca="false">Historicals!B48-Historicals!B47</f>
        <v>83</v>
      </c>
      <c r="C9" s="2" t="s">
        <v>142</v>
      </c>
      <c r="D9" s="2" t="s">
        <v>145</v>
      </c>
    </row>
    <row r="10" customFormat="false" ht="15" hidden="false" customHeight="false" outlineLevel="0" collapsed="false">
      <c r="A10" s="7" t="s">
        <v>146</v>
      </c>
      <c r="B10" s="17" t="n">
        <v>1500</v>
      </c>
      <c r="C10" s="2" t="s">
        <v>147</v>
      </c>
      <c r="D10" s="2" t="s">
        <v>148</v>
      </c>
    </row>
    <row r="11" customFormat="false" ht="15" hidden="false" customHeight="false" outlineLevel="0" collapsed="false">
      <c r="A11" s="7" t="s">
        <v>149</v>
      </c>
      <c r="B11" s="18" t="n">
        <v>6.55</v>
      </c>
      <c r="C11" s="2" t="s">
        <v>136</v>
      </c>
      <c r="D11" s="2" t="s">
        <v>150</v>
      </c>
    </row>
    <row r="12" customFormat="false" ht="15" hidden="false" customHeight="false" outlineLevel="0" collapsed="false">
      <c r="A12" s="7" t="s">
        <v>151</v>
      </c>
      <c r="B12" s="19" t="n">
        <f aca="false">B10/B11</f>
        <v>229.007633587786</v>
      </c>
      <c r="C12" s="2" t="s">
        <v>142</v>
      </c>
      <c r="D12" s="2" t="s">
        <v>152</v>
      </c>
    </row>
    <row r="14" customFormat="false" ht="15" hidden="false" customHeight="false" outlineLevel="0" collapsed="false">
      <c r="A14" s="3" t="s">
        <v>153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customFormat="false" ht="15" hidden="false" customHeight="false" outlineLevel="0" collapsed="false">
      <c r="A15" s="5" t="s">
        <v>131</v>
      </c>
      <c r="B15" s="6" t="s">
        <v>132</v>
      </c>
      <c r="C15" s="6" t="s">
        <v>133</v>
      </c>
      <c r="D15" s="6" t="s">
        <v>134</v>
      </c>
    </row>
    <row r="16" customFormat="false" ht="15" hidden="false" customHeight="false" outlineLevel="0" collapsed="false">
      <c r="A16" s="7" t="s">
        <v>154</v>
      </c>
      <c r="B16" s="24" t="n">
        <v>0.051</v>
      </c>
      <c r="C16" s="2" t="s">
        <v>155</v>
      </c>
      <c r="D16" s="2" t="s">
        <v>156</v>
      </c>
    </row>
    <row r="17" customFormat="false" ht="15" hidden="false" customHeight="false" outlineLevel="0" collapsed="false">
      <c r="A17" s="7" t="s">
        <v>157</v>
      </c>
      <c r="B17" s="24" t="n">
        <v>0.05</v>
      </c>
      <c r="C17" s="2" t="s">
        <v>155</v>
      </c>
      <c r="D17" s="2" t="s">
        <v>158</v>
      </c>
    </row>
    <row r="18" customFormat="false" ht="15" hidden="false" customHeight="false" outlineLevel="0" collapsed="false">
      <c r="A18" s="7" t="s">
        <v>159</v>
      </c>
      <c r="B18" s="25" t="n">
        <v>1.15</v>
      </c>
      <c r="C18" s="2" t="s">
        <v>160</v>
      </c>
      <c r="D18" s="2" t="s">
        <v>161</v>
      </c>
    </row>
    <row r="19" customFormat="false" ht="15" hidden="false" customHeight="false" outlineLevel="0" collapsed="false">
      <c r="A19" s="7" t="s">
        <v>162</v>
      </c>
      <c r="B19" s="24" t="n">
        <v>0.015</v>
      </c>
      <c r="C19" s="2" t="s">
        <v>155</v>
      </c>
      <c r="D19" s="2" t="s">
        <v>163</v>
      </c>
    </row>
    <row r="20" customFormat="false" ht="15" hidden="false" customHeight="false" outlineLevel="0" collapsed="false">
      <c r="A20" s="7" t="s">
        <v>164</v>
      </c>
      <c r="B20" s="26" t="n">
        <f aca="false">B16+B17*B18+B19</f>
        <v>0.1235</v>
      </c>
      <c r="C20" s="2" t="s">
        <v>155</v>
      </c>
      <c r="D20" s="2" t="s">
        <v>165</v>
      </c>
    </row>
    <row r="21" customFormat="false" ht="15" hidden="false" customHeight="false" outlineLevel="0" collapsed="false">
      <c r="A21" s="7" t="s">
        <v>166</v>
      </c>
      <c r="B21" s="27" t="n">
        <v>0.06</v>
      </c>
      <c r="C21" s="2" t="s">
        <v>155</v>
      </c>
      <c r="D21" s="2" t="s">
        <v>167</v>
      </c>
    </row>
    <row r="22" customFormat="false" ht="15" hidden="false" customHeight="false" outlineLevel="0" collapsed="false">
      <c r="A22" s="7" t="s">
        <v>168</v>
      </c>
      <c r="B22" s="27" t="n">
        <v>0.21</v>
      </c>
      <c r="C22" s="2" t="s">
        <v>155</v>
      </c>
      <c r="D22" s="2" t="s">
        <v>169</v>
      </c>
    </row>
    <row r="23" customFormat="false" ht="15" hidden="false" customHeight="false" outlineLevel="0" collapsed="false">
      <c r="A23" s="7" t="s">
        <v>170</v>
      </c>
      <c r="B23" s="27" t="n">
        <v>0.05</v>
      </c>
      <c r="C23" s="2" t="s">
        <v>155</v>
      </c>
      <c r="D23" s="2" t="s">
        <v>171</v>
      </c>
    </row>
    <row r="24" customFormat="false" ht="15" hidden="false" customHeight="false" outlineLevel="0" collapsed="false">
      <c r="A24" s="7" t="s">
        <v>172</v>
      </c>
      <c r="B24" s="28" t="n">
        <f aca="false">(1-B23)*B20+B23*B21*(1-B22)</f>
        <v>0.119695</v>
      </c>
      <c r="C24" s="2" t="s">
        <v>155</v>
      </c>
      <c r="D24" s="2"/>
    </row>
    <row r="25" customFormat="false" ht="15" hidden="false" customHeight="false" outlineLevel="0" collapsed="false">
      <c r="A25" s="7" t="s">
        <v>173</v>
      </c>
      <c r="B25" s="24" t="n">
        <v>0.04</v>
      </c>
      <c r="C25" s="2" t="s">
        <v>155</v>
      </c>
      <c r="D25" s="2" t="s">
        <v>174</v>
      </c>
    </row>
    <row r="27" customFormat="false" ht="15" hidden="false" customHeight="false" outlineLevel="0" collapsed="false">
      <c r="A27" s="3" t="s">
        <v>175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customFormat="false" ht="15" hidden="false" customHeight="false" outlineLevel="0" collapsed="false">
      <c r="A28" s="5" t="s">
        <v>131</v>
      </c>
      <c r="B28" s="6" t="s">
        <v>132</v>
      </c>
      <c r="C28" s="6" t="s">
        <v>133</v>
      </c>
      <c r="D28" s="6" t="s">
        <v>134</v>
      </c>
    </row>
    <row r="29" customFormat="false" ht="15" hidden="false" customHeight="false" outlineLevel="0" collapsed="false">
      <c r="A29" s="7" t="s">
        <v>176</v>
      </c>
      <c r="B29" s="27" t="n">
        <v>0.12</v>
      </c>
      <c r="C29" s="2" t="s">
        <v>155</v>
      </c>
      <c r="D29" s="2" t="s">
        <v>177</v>
      </c>
    </row>
    <row r="30" customFormat="false" ht="15" hidden="false" customHeight="false" outlineLevel="0" collapsed="false">
      <c r="A30" s="7" t="s">
        <v>178</v>
      </c>
      <c r="B30" s="24" t="n">
        <v>0.15</v>
      </c>
      <c r="C30" s="2" t="s">
        <v>155</v>
      </c>
      <c r="D30" s="2" t="s">
        <v>179</v>
      </c>
    </row>
    <row r="31" customFormat="false" ht="15" hidden="false" customHeight="false" outlineLevel="0" collapsed="false">
      <c r="A31" s="7" t="s">
        <v>180</v>
      </c>
      <c r="B31" s="27" t="n">
        <v>0</v>
      </c>
      <c r="C31" s="2" t="s">
        <v>155</v>
      </c>
      <c r="D31" s="2" t="s">
        <v>181</v>
      </c>
    </row>
    <row r="32" customFormat="false" ht="15" hidden="false" customHeight="false" outlineLevel="0" collapsed="false">
      <c r="A32" s="7" t="s">
        <v>182</v>
      </c>
      <c r="B32" s="23" t="n">
        <v>0.5</v>
      </c>
      <c r="C32" s="2" t="s">
        <v>160</v>
      </c>
      <c r="D32" s="2" t="s">
        <v>183</v>
      </c>
    </row>
    <row r="33" customFormat="false" ht="15" hidden="false" customHeight="false" outlineLevel="0" collapsed="false">
      <c r="A33" s="7" t="s">
        <v>184</v>
      </c>
      <c r="B33" s="23" t="n">
        <v>0</v>
      </c>
      <c r="C33" s="2" t="s">
        <v>139</v>
      </c>
      <c r="D33" s="2" t="s">
        <v>185</v>
      </c>
    </row>
    <row r="34" customFormat="false" ht="15" hidden="false" customHeight="false" outlineLevel="0" collapsed="false">
      <c r="A34" s="7" t="s">
        <v>186</v>
      </c>
      <c r="B34" s="27" t="n">
        <v>0.1</v>
      </c>
      <c r="C34" s="2" t="s">
        <v>155</v>
      </c>
      <c r="D34" s="2" t="s">
        <v>187</v>
      </c>
    </row>
    <row r="35" customFormat="false" ht="15" hidden="false" customHeight="false" outlineLevel="0" collapsed="false">
      <c r="A35" s="7" t="s">
        <v>188</v>
      </c>
      <c r="B35" s="17" t="n">
        <v>756</v>
      </c>
      <c r="C35" s="2" t="s">
        <v>147</v>
      </c>
      <c r="D35" s="2" t="s">
        <v>189</v>
      </c>
    </row>
    <row r="37" customFormat="false" ht="15" hidden="false" customHeight="false" outlineLevel="0" collapsed="false">
      <c r="A37" s="3" t="s">
        <v>190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customFormat="false" ht="15" hidden="false" customHeight="false" outlineLevel="0" collapsed="false">
      <c r="A38" s="5" t="s">
        <v>131</v>
      </c>
      <c r="B38" s="6" t="s">
        <v>132</v>
      </c>
      <c r="C38" s="6" t="s">
        <v>133</v>
      </c>
      <c r="D38" s="6" t="s">
        <v>134</v>
      </c>
    </row>
    <row r="39" customFormat="false" ht="15" hidden="false" customHeight="false" outlineLevel="0" collapsed="false">
      <c r="A39" s="7" t="s">
        <v>191</v>
      </c>
      <c r="B39" s="8" t="n">
        <f aca="false">Historicals!B41</f>
        <v>5400</v>
      </c>
      <c r="C39" s="2" t="s">
        <v>147</v>
      </c>
      <c r="D39" s="2" t="s">
        <v>192</v>
      </c>
    </row>
    <row r="40" customFormat="false" ht="15" hidden="false" customHeight="false" outlineLevel="0" collapsed="false">
      <c r="A40" s="7" t="s">
        <v>193</v>
      </c>
      <c r="B40" s="8" t="n">
        <f aca="false">Historicals!E32</f>
        <v>2513</v>
      </c>
      <c r="C40" s="2" t="s">
        <v>147</v>
      </c>
      <c r="D40" s="2" t="s">
        <v>194</v>
      </c>
    </row>
    <row r="41" customFormat="false" ht="15" hidden="false" customHeight="false" outlineLevel="0" collapsed="false">
      <c r="A41" s="7" t="s">
        <v>195</v>
      </c>
      <c r="B41" s="8" t="n">
        <f aca="false">Historicals!B42</f>
        <v>2165</v>
      </c>
      <c r="C41" s="2" t="s">
        <v>147</v>
      </c>
      <c r="D41" s="2"/>
    </row>
    <row r="42" customFormat="false" ht="15" hidden="false" customHeight="false" outlineLevel="0" collapsed="false">
      <c r="A42" s="7" t="s">
        <v>118</v>
      </c>
      <c r="B42" s="8" t="n">
        <f aca="false">Historicals!B43</f>
        <v>437</v>
      </c>
      <c r="C42" s="2" t="s">
        <v>147</v>
      </c>
      <c r="D42" s="2" t="s">
        <v>196</v>
      </c>
    </row>
    <row r="43" customFormat="false" ht="15" hidden="false" customHeight="false" outlineLevel="0" collapsed="false">
      <c r="A43" s="7" t="s">
        <v>197</v>
      </c>
      <c r="B43" s="8" t="n">
        <f aca="false">Historicals!B44</f>
        <v>70</v>
      </c>
      <c r="C43" s="2" t="s">
        <v>147</v>
      </c>
      <c r="D43" s="2"/>
    </row>
    <row r="44" customFormat="false" ht="15" hidden="false" customHeight="false" outlineLevel="0" collapsed="false">
      <c r="A44" s="7" t="s">
        <v>198</v>
      </c>
      <c r="B44" s="17" t="n">
        <v>600</v>
      </c>
      <c r="C44" s="2" t="s">
        <v>147</v>
      </c>
      <c r="D44" s="2" t="s">
        <v>199</v>
      </c>
    </row>
    <row r="45" customFormat="false" ht="15" hidden="false" customHeight="false" outlineLevel="0" collapsed="false">
      <c r="A45" s="7" t="s">
        <v>200</v>
      </c>
      <c r="B45" s="17" t="n">
        <v>213</v>
      </c>
      <c r="C45" s="2" t="s">
        <v>147</v>
      </c>
      <c r="D45" s="2" t="s">
        <v>201</v>
      </c>
    </row>
    <row r="46" customFormat="false" ht="15" hidden="false" customHeight="false" outlineLevel="0" collapsed="false">
      <c r="A46" s="7" t="s">
        <v>202</v>
      </c>
      <c r="B46" s="17" t="n">
        <v>212</v>
      </c>
      <c r="C46" s="2" t="s">
        <v>147</v>
      </c>
      <c r="D46" s="2" t="s">
        <v>203</v>
      </c>
    </row>
    <row r="47" customFormat="false" ht="15" hidden="false" customHeight="false" outlineLevel="0" collapsed="false">
      <c r="A47" s="7" t="s">
        <v>204</v>
      </c>
      <c r="B47" s="17" t="n">
        <v>1490</v>
      </c>
      <c r="C47" s="2" t="s">
        <v>147</v>
      </c>
      <c r="D47" s="2" t="s">
        <v>205</v>
      </c>
    </row>
    <row r="48" customFormat="false" ht="15" hidden="false" customHeight="false" outlineLevel="0" collapsed="false">
      <c r="A48" s="7" t="s">
        <v>206</v>
      </c>
      <c r="B48" s="17" t="n">
        <v>260</v>
      </c>
      <c r="C48" s="2" t="s">
        <v>147</v>
      </c>
      <c r="D48" s="2" t="s">
        <v>207</v>
      </c>
    </row>
    <row r="50" customFormat="false" ht="15" hidden="false" customHeight="false" outlineLevel="0" collapsed="false">
      <c r="A50" s="3" t="s">
        <v>208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customFormat="false" ht="15" hidden="false" customHeight="false" outlineLevel="0" collapsed="false">
      <c r="A51" s="5" t="s">
        <v>131</v>
      </c>
      <c r="B51" s="6" t="s">
        <v>132</v>
      </c>
      <c r="C51" s="6" t="s">
        <v>133</v>
      </c>
      <c r="D51" s="6" t="s">
        <v>134</v>
      </c>
    </row>
    <row r="52" customFormat="false" ht="15" hidden="false" customHeight="false" outlineLevel="0" collapsed="false">
      <c r="A52" s="7" t="s">
        <v>209</v>
      </c>
      <c r="B52" s="27" t="n">
        <v>0.4</v>
      </c>
      <c r="C52" s="2" t="s">
        <v>155</v>
      </c>
      <c r="D52" s="2" t="s">
        <v>210</v>
      </c>
    </row>
    <row r="53" customFormat="false" ht="15" hidden="false" customHeight="false" outlineLevel="0" collapsed="false">
      <c r="A53" s="7" t="s">
        <v>211</v>
      </c>
      <c r="B53" s="29" t="n">
        <v>13</v>
      </c>
      <c r="C53" s="2" t="s">
        <v>160</v>
      </c>
      <c r="D53" s="2" t="s">
        <v>212</v>
      </c>
    </row>
    <row r="54" customFormat="false" ht="15" hidden="false" customHeight="false" outlineLevel="0" collapsed="false">
      <c r="A54" s="7" t="s">
        <v>213</v>
      </c>
      <c r="B54" s="29" t="n">
        <v>2.5</v>
      </c>
      <c r="C54" s="2" t="s">
        <v>160</v>
      </c>
      <c r="D54" s="2" t="s">
        <v>214</v>
      </c>
    </row>
    <row r="55" customFormat="false" ht="15" hidden="false" customHeight="false" outlineLevel="0" collapsed="false">
      <c r="A55" s="7" t="s">
        <v>215</v>
      </c>
      <c r="B55" s="27" t="n">
        <v>0.75</v>
      </c>
      <c r="C55" s="2" t="s">
        <v>155</v>
      </c>
      <c r="D55" s="2" t="s">
        <v>216</v>
      </c>
    </row>
    <row r="56" customFormat="false" ht="15" hidden="false" customHeight="false" outlineLevel="0" collapsed="false">
      <c r="A56" s="7" t="s">
        <v>217</v>
      </c>
      <c r="B56" s="17" t="n">
        <v>2000</v>
      </c>
      <c r="C56" s="2" t="s">
        <v>147</v>
      </c>
      <c r="D56" s="2" t="s">
        <v>214</v>
      </c>
    </row>
    <row r="57" customFormat="false" ht="15" hidden="false" customHeight="false" outlineLevel="0" collapsed="false">
      <c r="A57" s="7" t="s">
        <v>218</v>
      </c>
      <c r="B57" s="17" t="n">
        <v>4500</v>
      </c>
      <c r="C57" s="2" t="s">
        <v>147</v>
      </c>
      <c r="D57" s="2" t="s">
        <v>214</v>
      </c>
    </row>
    <row r="59" customFormat="false" ht="15" hidden="false" customHeight="false" outlineLevel="0" collapsed="false">
      <c r="A59" s="3" t="s">
        <v>219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customFormat="false" ht="15" hidden="false" customHeight="false" outlineLevel="0" collapsed="false">
      <c r="A60" s="5" t="s">
        <v>131</v>
      </c>
      <c r="B60" s="6" t="s">
        <v>3</v>
      </c>
      <c r="C60" s="6" t="s">
        <v>4</v>
      </c>
      <c r="D60" s="6" t="s">
        <v>5</v>
      </c>
      <c r="E60" s="6" t="s">
        <v>220</v>
      </c>
    </row>
    <row r="61" customFormat="false" ht="15" hidden="false" customHeight="false" outlineLevel="0" collapsed="false">
      <c r="A61" s="7" t="s">
        <v>15</v>
      </c>
      <c r="B61" s="30" t="n">
        <v>0.25</v>
      </c>
      <c r="C61" s="30" t="n">
        <v>0.5</v>
      </c>
      <c r="D61" s="30" t="n">
        <v>0.25</v>
      </c>
      <c r="E61" s="2" t="s">
        <v>221</v>
      </c>
    </row>
    <row r="62" customFormat="false" ht="15" hidden="false" customHeight="false" outlineLevel="0" collapsed="false">
      <c r="A62" s="7" t="s">
        <v>222</v>
      </c>
      <c r="B62" s="25" t="n">
        <v>3.25</v>
      </c>
      <c r="C62" s="25" t="n">
        <v>3</v>
      </c>
      <c r="D62" s="25" t="n">
        <v>2.75</v>
      </c>
      <c r="E62" s="2" t="s">
        <v>223</v>
      </c>
    </row>
    <row r="63" customFormat="false" ht="15" hidden="false" customHeight="false" outlineLevel="0" collapsed="false">
      <c r="A63" s="7" t="s">
        <v>224</v>
      </c>
      <c r="B63" s="31" t="n">
        <v>10</v>
      </c>
      <c r="C63" s="31" t="n">
        <v>13</v>
      </c>
      <c r="D63" s="31" t="n">
        <v>16</v>
      </c>
      <c r="E63" s="2" t="s">
        <v>225</v>
      </c>
    </row>
    <row r="64" customFormat="false" ht="15" hidden="false" customHeight="false" outlineLevel="0" collapsed="false">
      <c r="A64" s="7" t="s">
        <v>226</v>
      </c>
      <c r="B64" s="31" t="n">
        <v>7</v>
      </c>
      <c r="C64" s="31" t="n">
        <v>10</v>
      </c>
      <c r="D64" s="31" t="n">
        <v>12</v>
      </c>
      <c r="E64" s="2" t="s">
        <v>227</v>
      </c>
    </row>
    <row r="65" customFormat="false" ht="15" hidden="false" customHeight="false" outlineLevel="0" collapsed="false">
      <c r="A65" s="7" t="s">
        <v>228</v>
      </c>
      <c r="B65" s="30" t="n">
        <v>0.85</v>
      </c>
      <c r="C65" s="30" t="n">
        <v>0.85</v>
      </c>
      <c r="D65" s="30" t="n">
        <v>0.85</v>
      </c>
      <c r="E65" s="2" t="s">
        <v>229</v>
      </c>
    </row>
    <row r="67" customFormat="false" ht="15" hidden="false" customHeight="false" outlineLevel="0" collapsed="false">
      <c r="A67" s="3" t="s">
        <v>230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customFormat="false" ht="15" hidden="false" customHeight="false" outlineLevel="0" collapsed="false">
      <c r="A68" s="5" t="s">
        <v>231</v>
      </c>
      <c r="B68" s="6" t="s">
        <v>232</v>
      </c>
      <c r="C68" s="6"/>
      <c r="D68" s="6"/>
      <c r="E68" s="6" t="s">
        <v>41</v>
      </c>
      <c r="F68" s="6" t="s">
        <v>42</v>
      </c>
      <c r="G68" s="6" t="s">
        <v>43</v>
      </c>
      <c r="H68" s="6" t="s">
        <v>44</v>
      </c>
      <c r="I68" s="6" t="s">
        <v>45</v>
      </c>
      <c r="J68" s="6" t="s">
        <v>233</v>
      </c>
      <c r="K68" s="6" t="s">
        <v>234</v>
      </c>
      <c r="L68" s="6" t="s">
        <v>235</v>
      </c>
      <c r="M68" s="6" t="s">
        <v>236</v>
      </c>
      <c r="N68" s="6" t="s">
        <v>237</v>
      </c>
      <c r="O68" s="6" t="s">
        <v>238</v>
      </c>
    </row>
    <row r="69" customFormat="false" ht="15" hidden="false" customHeight="false" outlineLevel="0" collapsed="false">
      <c r="A69" s="7" t="s">
        <v>239</v>
      </c>
      <c r="B69" s="2" t="s">
        <v>3</v>
      </c>
      <c r="E69" s="32" t="n">
        <v>0.21</v>
      </c>
      <c r="F69" s="32" t="n">
        <v>0.15</v>
      </c>
      <c r="G69" s="32" t="n">
        <v>0.13</v>
      </c>
      <c r="H69" s="32" t="n">
        <v>0.11</v>
      </c>
      <c r="I69" s="32" t="n">
        <v>0.09</v>
      </c>
      <c r="J69" s="32" t="n">
        <v>0.08</v>
      </c>
      <c r="K69" s="32" t="n">
        <v>0.07</v>
      </c>
      <c r="L69" s="32" t="n">
        <v>0.06</v>
      </c>
      <c r="M69" s="32" t="n">
        <v>0.05</v>
      </c>
      <c r="N69" s="32" t="n">
        <v>0.05</v>
      </c>
      <c r="O69" s="2" t="s">
        <v>240</v>
      </c>
    </row>
    <row r="70" customFormat="false" ht="15" hidden="false" customHeight="false" outlineLevel="0" collapsed="false">
      <c r="A70" s="7"/>
      <c r="B70" s="2" t="s">
        <v>4</v>
      </c>
      <c r="E70" s="32" t="n">
        <v>0.22</v>
      </c>
      <c r="F70" s="32" t="n">
        <v>0.18</v>
      </c>
      <c r="G70" s="32" t="n">
        <v>0.16</v>
      </c>
      <c r="H70" s="32" t="n">
        <v>0.14</v>
      </c>
      <c r="I70" s="32" t="n">
        <v>0.12</v>
      </c>
      <c r="J70" s="32" t="n">
        <v>0.11</v>
      </c>
      <c r="K70" s="32" t="n">
        <v>0.1</v>
      </c>
      <c r="L70" s="32" t="n">
        <v>0.09</v>
      </c>
      <c r="M70" s="32" t="n">
        <v>0.08</v>
      </c>
      <c r="N70" s="32" t="n">
        <v>0.07</v>
      </c>
    </row>
    <row r="71" customFormat="false" ht="15" hidden="false" customHeight="false" outlineLevel="0" collapsed="false">
      <c r="A71" s="33"/>
      <c r="B71" s="34" t="s">
        <v>5</v>
      </c>
      <c r="C71" s="35"/>
      <c r="D71" s="35"/>
      <c r="E71" s="36" t="n">
        <v>0.225</v>
      </c>
      <c r="F71" s="36" t="n">
        <v>0.19</v>
      </c>
      <c r="G71" s="36" t="n">
        <v>0.17</v>
      </c>
      <c r="H71" s="36" t="n">
        <v>0.15</v>
      </c>
      <c r="I71" s="36" t="n">
        <v>0.13</v>
      </c>
      <c r="J71" s="36" t="n">
        <v>0.12</v>
      </c>
      <c r="K71" s="36" t="n">
        <v>0.11</v>
      </c>
      <c r="L71" s="36" t="n">
        <v>0.1</v>
      </c>
      <c r="M71" s="36" t="n">
        <v>0.09</v>
      </c>
      <c r="N71" s="36" t="n">
        <v>0.08</v>
      </c>
      <c r="O71" s="35"/>
    </row>
    <row r="72" customFormat="false" ht="15" hidden="false" customHeight="false" outlineLevel="0" collapsed="false">
      <c r="A72" s="7" t="s">
        <v>241</v>
      </c>
      <c r="B72" s="2" t="s">
        <v>3</v>
      </c>
      <c r="E72" s="27" t="n">
        <v>0.1245</v>
      </c>
      <c r="F72" s="27" t="n">
        <v>0.123</v>
      </c>
      <c r="G72" s="27" t="n">
        <v>0.122</v>
      </c>
      <c r="H72" s="27" t="n">
        <v>0.122</v>
      </c>
      <c r="I72" s="27" t="n">
        <v>0.122</v>
      </c>
      <c r="J72" s="27" t="n">
        <v>0.122</v>
      </c>
      <c r="K72" s="27" t="n">
        <v>0.122</v>
      </c>
      <c r="L72" s="27" t="n">
        <v>0.122</v>
      </c>
      <c r="M72" s="27" t="n">
        <v>0.122</v>
      </c>
      <c r="N72" s="27" t="n">
        <v>0.122</v>
      </c>
      <c r="O72" s="2" t="s">
        <v>242</v>
      </c>
    </row>
    <row r="73" customFormat="false" ht="15" hidden="false" customHeight="false" outlineLevel="0" collapsed="false">
      <c r="A73" s="7"/>
      <c r="B73" s="2" t="s">
        <v>4</v>
      </c>
      <c r="E73" s="27" t="n">
        <v>0.125</v>
      </c>
      <c r="F73" s="27" t="n">
        <v>0.126</v>
      </c>
      <c r="G73" s="27" t="n">
        <v>0.127</v>
      </c>
      <c r="H73" s="27" t="n">
        <v>0.128</v>
      </c>
      <c r="I73" s="27" t="n">
        <v>0.128</v>
      </c>
      <c r="J73" s="27" t="n">
        <v>0.128</v>
      </c>
      <c r="K73" s="27" t="n">
        <v>0.128</v>
      </c>
      <c r="L73" s="27" t="n">
        <v>0.128</v>
      </c>
      <c r="M73" s="27" t="n">
        <v>0.128</v>
      </c>
      <c r="N73" s="27" t="n">
        <v>0.128</v>
      </c>
    </row>
    <row r="74" customFormat="false" ht="15" hidden="false" customHeight="false" outlineLevel="0" collapsed="false">
      <c r="A74" s="33"/>
      <c r="B74" s="34" t="s">
        <v>5</v>
      </c>
      <c r="C74" s="35"/>
      <c r="D74" s="35"/>
      <c r="E74" s="37" t="n">
        <v>0.1255</v>
      </c>
      <c r="F74" s="37" t="n">
        <v>0.128</v>
      </c>
      <c r="G74" s="37" t="n">
        <v>0.13</v>
      </c>
      <c r="H74" s="37" t="n">
        <v>0.131</v>
      </c>
      <c r="I74" s="37" t="n">
        <v>0.132</v>
      </c>
      <c r="J74" s="37" t="n">
        <v>0.133</v>
      </c>
      <c r="K74" s="37" t="n">
        <v>0.133</v>
      </c>
      <c r="L74" s="37" t="n">
        <v>0.133</v>
      </c>
      <c r="M74" s="37" t="n">
        <v>0.133</v>
      </c>
      <c r="N74" s="37" t="n">
        <v>0.133</v>
      </c>
      <c r="O74" s="35"/>
    </row>
    <row r="75" customFormat="false" ht="15" hidden="false" customHeight="false" outlineLevel="0" collapsed="false">
      <c r="A75" s="7" t="s">
        <v>243</v>
      </c>
      <c r="B75" s="2" t="s">
        <v>3</v>
      </c>
      <c r="E75" s="27" t="n">
        <v>0.0218</v>
      </c>
      <c r="F75" s="27" t="n">
        <v>0.0235</v>
      </c>
      <c r="G75" s="27" t="n">
        <v>0.0255</v>
      </c>
      <c r="H75" s="27" t="n">
        <v>0.0265</v>
      </c>
      <c r="I75" s="27" t="n">
        <v>0.0275</v>
      </c>
      <c r="J75" s="27" t="n">
        <v>0.0285</v>
      </c>
      <c r="K75" s="27" t="n">
        <v>0.029</v>
      </c>
      <c r="L75" s="27" t="n">
        <v>0.0295</v>
      </c>
      <c r="M75" s="27" t="n">
        <v>0.03</v>
      </c>
      <c r="N75" s="27" t="n">
        <v>0.03</v>
      </c>
      <c r="O75" s="2" t="s">
        <v>244</v>
      </c>
    </row>
    <row r="76" customFormat="false" ht="15" hidden="false" customHeight="false" outlineLevel="0" collapsed="false">
      <c r="A76" s="7"/>
      <c r="B76" s="2" t="s">
        <v>4</v>
      </c>
      <c r="E76" s="27" t="n">
        <v>0.0222</v>
      </c>
      <c r="F76" s="27" t="n">
        <v>0.0255</v>
      </c>
      <c r="G76" s="27" t="n">
        <v>0.028</v>
      </c>
      <c r="H76" s="27" t="n">
        <v>0.03</v>
      </c>
      <c r="I76" s="27" t="n">
        <v>0.0315</v>
      </c>
      <c r="J76" s="27" t="n">
        <v>0.033</v>
      </c>
      <c r="K76" s="27" t="n">
        <v>0.034</v>
      </c>
      <c r="L76" s="27" t="n">
        <v>0.035</v>
      </c>
      <c r="M76" s="27" t="n">
        <v>0.035</v>
      </c>
      <c r="N76" s="27" t="n">
        <v>0.035</v>
      </c>
    </row>
    <row r="77" customFormat="false" ht="15" hidden="false" customHeight="false" outlineLevel="0" collapsed="false">
      <c r="A77" s="33"/>
      <c r="B77" s="34" t="s">
        <v>5</v>
      </c>
      <c r="C77" s="35"/>
      <c r="D77" s="35"/>
      <c r="E77" s="37" t="n">
        <v>0.0225</v>
      </c>
      <c r="F77" s="37" t="n">
        <v>0.0265</v>
      </c>
      <c r="G77" s="37" t="n">
        <v>0.029</v>
      </c>
      <c r="H77" s="37" t="n">
        <v>0.0315</v>
      </c>
      <c r="I77" s="37" t="n">
        <v>0.0335</v>
      </c>
      <c r="J77" s="37" t="n">
        <v>0.035</v>
      </c>
      <c r="K77" s="37" t="n">
        <v>0.0365</v>
      </c>
      <c r="L77" s="37" t="n">
        <v>0.0375</v>
      </c>
      <c r="M77" s="37" t="n">
        <v>0.0385</v>
      </c>
      <c r="N77" s="37" t="n">
        <v>0.0385</v>
      </c>
      <c r="O77" s="35"/>
    </row>
    <row r="78" customFormat="false" ht="15" hidden="false" customHeight="false" outlineLevel="0" collapsed="false">
      <c r="A78" s="7" t="s">
        <v>245</v>
      </c>
      <c r="B78" s="2" t="s">
        <v>3</v>
      </c>
      <c r="E78" s="32" t="n">
        <v>0</v>
      </c>
      <c r="F78" s="32" t="n">
        <v>-0.12</v>
      </c>
      <c r="G78" s="32" t="n">
        <v>0.02</v>
      </c>
      <c r="H78" s="32" t="n">
        <v>0.03</v>
      </c>
      <c r="I78" s="32" t="n">
        <v>0.03</v>
      </c>
      <c r="J78" s="32" t="n">
        <v>0.03</v>
      </c>
      <c r="K78" s="32" t="n">
        <v>0.03</v>
      </c>
      <c r="L78" s="32" t="n">
        <v>0.03</v>
      </c>
      <c r="M78" s="32" t="n">
        <v>0.02</v>
      </c>
      <c r="N78" s="32" t="n">
        <v>0.02</v>
      </c>
      <c r="O78" s="2" t="s">
        <v>246</v>
      </c>
    </row>
    <row r="79" customFormat="false" ht="15" hidden="false" customHeight="false" outlineLevel="0" collapsed="false">
      <c r="A79" s="7"/>
      <c r="B79" s="2" t="s">
        <v>4</v>
      </c>
      <c r="E79" s="32" t="n">
        <v>0.03</v>
      </c>
      <c r="F79" s="32" t="n">
        <v>-0.05</v>
      </c>
      <c r="G79" s="32" t="n">
        <v>0.06</v>
      </c>
      <c r="H79" s="32" t="n">
        <v>0.06</v>
      </c>
      <c r="I79" s="32" t="n">
        <v>0.05</v>
      </c>
      <c r="J79" s="32" t="n">
        <v>0.05</v>
      </c>
      <c r="K79" s="32" t="n">
        <v>0.04</v>
      </c>
      <c r="L79" s="32" t="n">
        <v>0.04</v>
      </c>
      <c r="M79" s="32" t="n">
        <v>0.04</v>
      </c>
      <c r="N79" s="32" t="n">
        <v>0.03</v>
      </c>
    </row>
    <row r="80" customFormat="false" ht="15" hidden="false" customHeight="false" outlineLevel="0" collapsed="false">
      <c r="A80" s="33"/>
      <c r="B80" s="34" t="s">
        <v>5</v>
      </c>
      <c r="C80" s="35"/>
      <c r="D80" s="35"/>
      <c r="E80" s="36" t="n">
        <v>0.04</v>
      </c>
      <c r="F80" s="36" t="n">
        <v>0</v>
      </c>
      <c r="G80" s="36" t="n">
        <v>0.08</v>
      </c>
      <c r="H80" s="36" t="n">
        <v>0.07</v>
      </c>
      <c r="I80" s="36" t="n">
        <v>0.06</v>
      </c>
      <c r="J80" s="36" t="n">
        <v>0.05</v>
      </c>
      <c r="K80" s="36" t="n">
        <v>0.05</v>
      </c>
      <c r="L80" s="36" t="n">
        <v>0.04</v>
      </c>
      <c r="M80" s="36" t="n">
        <v>0.04</v>
      </c>
      <c r="N80" s="36" t="n">
        <v>0.04</v>
      </c>
      <c r="O80" s="35"/>
    </row>
    <row r="81" customFormat="false" ht="15" hidden="false" customHeight="false" outlineLevel="0" collapsed="false">
      <c r="A81" s="7" t="s">
        <v>247</v>
      </c>
      <c r="B81" s="2" t="s">
        <v>3</v>
      </c>
      <c r="E81" s="23" t="n">
        <v>0</v>
      </c>
      <c r="F81" s="23" t="n">
        <v>0.75</v>
      </c>
      <c r="G81" s="23" t="n">
        <v>1</v>
      </c>
      <c r="H81" s="23" t="n">
        <v>1</v>
      </c>
      <c r="I81" s="23" t="n">
        <v>1</v>
      </c>
      <c r="J81" s="23" t="n">
        <v>1</v>
      </c>
      <c r="K81" s="23" t="n">
        <v>1</v>
      </c>
      <c r="L81" s="23" t="n">
        <v>1</v>
      </c>
      <c r="M81" s="23" t="n">
        <v>1</v>
      </c>
      <c r="N81" s="23" t="n">
        <v>1</v>
      </c>
      <c r="O81" s="2" t="s">
        <v>248</v>
      </c>
    </row>
    <row r="82" customFormat="false" ht="15" hidden="false" customHeight="false" outlineLevel="0" collapsed="false">
      <c r="A82" s="7"/>
      <c r="B82" s="2" t="s">
        <v>4</v>
      </c>
      <c r="E82" s="23" t="n">
        <v>0</v>
      </c>
      <c r="F82" s="23" t="n">
        <v>1</v>
      </c>
      <c r="G82" s="23" t="n">
        <v>1</v>
      </c>
      <c r="H82" s="23" t="n">
        <v>1</v>
      </c>
      <c r="I82" s="23" t="n">
        <v>1</v>
      </c>
      <c r="J82" s="23" t="n">
        <v>1</v>
      </c>
      <c r="K82" s="23" t="n">
        <v>1</v>
      </c>
      <c r="L82" s="23" t="n">
        <v>1</v>
      </c>
      <c r="M82" s="23" t="n">
        <v>1</v>
      </c>
      <c r="N82" s="23" t="n">
        <v>1</v>
      </c>
    </row>
    <row r="83" customFormat="false" ht="15" hidden="false" customHeight="false" outlineLevel="0" collapsed="false">
      <c r="A83" s="33"/>
      <c r="B83" s="34" t="s">
        <v>5</v>
      </c>
      <c r="C83" s="35"/>
      <c r="D83" s="35"/>
      <c r="E83" s="38" t="n">
        <v>0.25</v>
      </c>
      <c r="F83" s="38" t="n">
        <v>1</v>
      </c>
      <c r="G83" s="38" t="n">
        <v>1</v>
      </c>
      <c r="H83" s="38" t="n">
        <v>1</v>
      </c>
      <c r="I83" s="38" t="n">
        <v>1</v>
      </c>
      <c r="J83" s="38" t="n">
        <v>1</v>
      </c>
      <c r="K83" s="38" t="n">
        <v>1</v>
      </c>
      <c r="L83" s="38" t="n">
        <v>1</v>
      </c>
      <c r="M83" s="38" t="n">
        <v>1</v>
      </c>
      <c r="N83" s="38" t="n">
        <v>1</v>
      </c>
      <c r="O83" s="35"/>
    </row>
    <row r="84" customFormat="false" ht="15" hidden="false" customHeight="false" outlineLevel="0" collapsed="false">
      <c r="A84" s="7" t="s">
        <v>249</v>
      </c>
      <c r="B84" s="2" t="s">
        <v>3</v>
      </c>
      <c r="E84" s="27" t="n">
        <v>0.135</v>
      </c>
      <c r="F84" s="27" t="n">
        <v>0.135</v>
      </c>
      <c r="G84" s="27" t="n">
        <v>0.135</v>
      </c>
      <c r="H84" s="27" t="n">
        <v>0.135</v>
      </c>
      <c r="I84" s="27" t="n">
        <v>0.135</v>
      </c>
      <c r="J84" s="27" t="n">
        <v>0.135</v>
      </c>
      <c r="K84" s="27" t="n">
        <v>0.135</v>
      </c>
      <c r="L84" s="27" t="n">
        <v>0.135</v>
      </c>
      <c r="M84" s="27" t="n">
        <v>0.135</v>
      </c>
      <c r="N84" s="27" t="n">
        <v>0.135</v>
      </c>
      <c r="O84" s="2" t="s">
        <v>250</v>
      </c>
    </row>
    <row r="85" customFormat="false" ht="15" hidden="false" customHeight="false" outlineLevel="0" collapsed="false">
      <c r="A85" s="7"/>
      <c r="B85" s="2" t="s">
        <v>4</v>
      </c>
      <c r="E85" s="27" t="n">
        <v>0.14</v>
      </c>
      <c r="F85" s="27" t="n">
        <v>0.14</v>
      </c>
      <c r="G85" s="27" t="n">
        <v>0.14</v>
      </c>
      <c r="H85" s="27" t="n">
        <v>0.14</v>
      </c>
      <c r="I85" s="27" t="n">
        <v>0.14</v>
      </c>
      <c r="J85" s="27" t="n">
        <v>0.14</v>
      </c>
      <c r="K85" s="27" t="n">
        <v>0.14</v>
      </c>
      <c r="L85" s="27" t="n">
        <v>0.14</v>
      </c>
      <c r="M85" s="27" t="n">
        <v>0.14</v>
      </c>
      <c r="N85" s="27" t="n">
        <v>0.14</v>
      </c>
    </row>
    <row r="86" customFormat="false" ht="15" hidden="false" customHeight="false" outlineLevel="0" collapsed="false">
      <c r="A86" s="33"/>
      <c r="B86" s="34" t="s">
        <v>5</v>
      </c>
      <c r="C86" s="35"/>
      <c r="D86" s="35"/>
      <c r="E86" s="37" t="n">
        <v>0.145</v>
      </c>
      <c r="F86" s="37" t="n">
        <v>0.145</v>
      </c>
      <c r="G86" s="37" t="n">
        <v>0.145</v>
      </c>
      <c r="H86" s="37" t="n">
        <v>0.145</v>
      </c>
      <c r="I86" s="37" t="n">
        <v>0.145</v>
      </c>
      <c r="J86" s="37" t="n">
        <v>0.145</v>
      </c>
      <c r="K86" s="37" t="n">
        <v>0.145</v>
      </c>
      <c r="L86" s="37" t="n">
        <v>0.145</v>
      </c>
      <c r="M86" s="37" t="n">
        <v>0.145</v>
      </c>
      <c r="N86" s="37" t="n">
        <v>0.145</v>
      </c>
      <c r="O86" s="35"/>
    </row>
    <row r="87" customFormat="false" ht="15" hidden="false" customHeight="false" outlineLevel="0" collapsed="false">
      <c r="A87" s="7" t="s">
        <v>251</v>
      </c>
      <c r="B87" s="2" t="s">
        <v>3</v>
      </c>
      <c r="E87" s="27" t="n">
        <v>0</v>
      </c>
      <c r="F87" s="27" t="n">
        <v>-0.01</v>
      </c>
      <c r="G87" s="27" t="n">
        <v>0.02</v>
      </c>
      <c r="H87" s="27" t="n">
        <v>0.025</v>
      </c>
      <c r="I87" s="27" t="n">
        <v>0.028</v>
      </c>
      <c r="J87" s="27" t="n">
        <v>0.03</v>
      </c>
      <c r="K87" s="27" t="n">
        <v>0.03</v>
      </c>
      <c r="L87" s="27" t="n">
        <v>0.03</v>
      </c>
      <c r="M87" s="27" t="n">
        <v>0.03</v>
      </c>
      <c r="N87" s="27" t="n">
        <v>0.03</v>
      </c>
      <c r="O87" s="2" t="s">
        <v>252</v>
      </c>
    </row>
    <row r="88" customFormat="false" ht="15" hidden="false" customHeight="false" outlineLevel="0" collapsed="false">
      <c r="A88" s="7"/>
      <c r="B88" s="2" t="s">
        <v>4</v>
      </c>
      <c r="E88" s="27" t="n">
        <v>0</v>
      </c>
      <c r="F88" s="27" t="n">
        <v>0.01</v>
      </c>
      <c r="G88" s="27" t="n">
        <v>0.033</v>
      </c>
      <c r="H88" s="27" t="n">
        <v>0.036</v>
      </c>
      <c r="I88" s="27" t="n">
        <v>0.038</v>
      </c>
      <c r="J88" s="27" t="n">
        <v>0.04</v>
      </c>
      <c r="K88" s="27" t="n">
        <v>0.04</v>
      </c>
      <c r="L88" s="27" t="n">
        <v>0.04</v>
      </c>
      <c r="M88" s="27" t="n">
        <v>0.04</v>
      </c>
      <c r="N88" s="27" t="n">
        <v>0.04</v>
      </c>
    </row>
    <row r="89" customFormat="false" ht="15" hidden="false" customHeight="false" outlineLevel="0" collapsed="false">
      <c r="A89" s="33"/>
      <c r="B89" s="34" t="s">
        <v>5</v>
      </c>
      <c r="C89" s="35"/>
      <c r="D89" s="35"/>
      <c r="E89" s="37" t="n">
        <v>0.005</v>
      </c>
      <c r="F89" s="37" t="n">
        <v>0.015</v>
      </c>
      <c r="G89" s="37" t="n">
        <v>0.038</v>
      </c>
      <c r="H89" s="37" t="n">
        <v>0.042</v>
      </c>
      <c r="I89" s="37" t="n">
        <v>0.044</v>
      </c>
      <c r="J89" s="37" t="n">
        <v>0.045</v>
      </c>
      <c r="K89" s="37" t="n">
        <v>0.045</v>
      </c>
      <c r="L89" s="37" t="n">
        <v>0.045</v>
      </c>
      <c r="M89" s="37" t="n">
        <v>0.045</v>
      </c>
      <c r="N89" s="37" t="n">
        <v>0.045</v>
      </c>
      <c r="O89" s="35"/>
    </row>
    <row r="90" customFormat="false" ht="15" hidden="false" customHeight="false" outlineLevel="0" collapsed="false">
      <c r="A90" s="7" t="s">
        <v>253</v>
      </c>
      <c r="B90" s="2" t="s">
        <v>3</v>
      </c>
      <c r="E90" s="32" t="n">
        <v>0.18</v>
      </c>
      <c r="F90" s="32" t="n">
        <v>0.1</v>
      </c>
      <c r="G90" s="32" t="n">
        <v>0.09</v>
      </c>
      <c r="H90" s="32" t="n">
        <v>0.08</v>
      </c>
      <c r="I90" s="32" t="n">
        <v>0.07</v>
      </c>
      <c r="J90" s="32" t="n">
        <v>0.07</v>
      </c>
      <c r="K90" s="32" t="n">
        <v>0.06</v>
      </c>
      <c r="L90" s="32" t="n">
        <v>0.05</v>
      </c>
      <c r="M90" s="32" t="n">
        <v>0.05</v>
      </c>
      <c r="N90" s="32" t="n">
        <v>0.04</v>
      </c>
      <c r="O90" s="2" t="s">
        <v>254</v>
      </c>
    </row>
    <row r="91" customFormat="false" ht="15" hidden="false" customHeight="false" outlineLevel="0" collapsed="false">
      <c r="A91" s="7"/>
      <c r="B91" s="2" t="s">
        <v>4</v>
      </c>
      <c r="E91" s="32" t="n">
        <v>0.19</v>
      </c>
      <c r="F91" s="32" t="n">
        <v>0.14</v>
      </c>
      <c r="G91" s="32" t="n">
        <v>0.13</v>
      </c>
      <c r="H91" s="32" t="n">
        <v>0.12</v>
      </c>
      <c r="I91" s="32" t="n">
        <v>0.11</v>
      </c>
      <c r="J91" s="32" t="n">
        <v>0.1</v>
      </c>
      <c r="K91" s="32" t="n">
        <v>0.09</v>
      </c>
      <c r="L91" s="32" t="n">
        <v>0.08</v>
      </c>
      <c r="M91" s="32" t="n">
        <v>0.07</v>
      </c>
      <c r="N91" s="32" t="n">
        <v>0.06</v>
      </c>
    </row>
    <row r="92" customFormat="false" ht="15" hidden="false" customHeight="false" outlineLevel="0" collapsed="false">
      <c r="A92" s="33"/>
      <c r="B92" s="34" t="s">
        <v>5</v>
      </c>
      <c r="C92" s="35"/>
      <c r="D92" s="35"/>
      <c r="E92" s="36" t="n">
        <v>0.195</v>
      </c>
      <c r="F92" s="36" t="n">
        <v>0.16</v>
      </c>
      <c r="G92" s="36" t="n">
        <v>0.145</v>
      </c>
      <c r="H92" s="36" t="n">
        <v>0.13</v>
      </c>
      <c r="I92" s="36" t="n">
        <v>0.12</v>
      </c>
      <c r="J92" s="36" t="n">
        <v>0.11</v>
      </c>
      <c r="K92" s="36" t="n">
        <v>0.1</v>
      </c>
      <c r="L92" s="36" t="n">
        <v>0.09</v>
      </c>
      <c r="M92" s="36" t="n">
        <v>0.08</v>
      </c>
      <c r="N92" s="36" t="n">
        <v>0.07</v>
      </c>
      <c r="O92" s="35"/>
    </row>
    <row r="93" customFormat="false" ht="15" hidden="false" customHeight="false" outlineLevel="0" collapsed="false">
      <c r="A93" s="7" t="s">
        <v>255</v>
      </c>
      <c r="B93" s="2" t="s">
        <v>3</v>
      </c>
      <c r="E93" s="27" t="n">
        <v>0.146</v>
      </c>
      <c r="F93" s="27" t="n">
        <v>0.137</v>
      </c>
      <c r="G93" s="27" t="n">
        <v>0.135</v>
      </c>
      <c r="H93" s="27" t="n">
        <v>0.135</v>
      </c>
      <c r="I93" s="27" t="n">
        <v>0.135</v>
      </c>
      <c r="J93" s="27" t="n">
        <v>0.135</v>
      </c>
      <c r="K93" s="27" t="n">
        <v>0.135</v>
      </c>
      <c r="L93" s="27" t="n">
        <v>0.135</v>
      </c>
      <c r="M93" s="27" t="n">
        <v>0.135</v>
      </c>
      <c r="N93" s="27" t="n">
        <v>0.135</v>
      </c>
      <c r="O93" s="2" t="s">
        <v>256</v>
      </c>
    </row>
    <row r="94" customFormat="false" ht="15" hidden="false" customHeight="false" outlineLevel="0" collapsed="false">
      <c r="A94" s="7"/>
      <c r="B94" s="2" t="s">
        <v>4</v>
      </c>
      <c r="E94" s="27" t="n">
        <v>0.147</v>
      </c>
      <c r="F94" s="27" t="n">
        <v>0.143</v>
      </c>
      <c r="G94" s="27" t="n">
        <v>0.142</v>
      </c>
      <c r="H94" s="27" t="n">
        <v>0.142</v>
      </c>
      <c r="I94" s="27" t="n">
        <v>0.142</v>
      </c>
      <c r="J94" s="27" t="n">
        <v>0.142</v>
      </c>
      <c r="K94" s="27" t="n">
        <v>0.142</v>
      </c>
      <c r="L94" s="27" t="n">
        <v>0.142</v>
      </c>
      <c r="M94" s="27" t="n">
        <v>0.142</v>
      </c>
      <c r="N94" s="27" t="n">
        <v>0.142</v>
      </c>
    </row>
    <row r="95" customFormat="false" ht="15" hidden="false" customHeight="false" outlineLevel="0" collapsed="false">
      <c r="A95" s="33"/>
      <c r="B95" s="34" t="s">
        <v>5</v>
      </c>
      <c r="C95" s="35"/>
      <c r="D95" s="35"/>
      <c r="E95" s="37" t="n">
        <v>0.148</v>
      </c>
      <c r="F95" s="37" t="n">
        <v>0.146</v>
      </c>
      <c r="G95" s="37" t="n">
        <v>0.145</v>
      </c>
      <c r="H95" s="37" t="n">
        <v>0.145</v>
      </c>
      <c r="I95" s="37" t="n">
        <v>0.145</v>
      </c>
      <c r="J95" s="37" t="n">
        <v>0.145</v>
      </c>
      <c r="K95" s="37" t="n">
        <v>0.145</v>
      </c>
      <c r="L95" s="37" t="n">
        <v>0.145</v>
      </c>
      <c r="M95" s="37" t="n">
        <v>0.145</v>
      </c>
      <c r="N95" s="37" t="n">
        <v>0.145</v>
      </c>
      <c r="O95" s="35"/>
    </row>
    <row r="96" customFormat="false" ht="15" hidden="false" customHeight="false" outlineLevel="0" collapsed="false">
      <c r="A96" s="7" t="s">
        <v>257</v>
      </c>
      <c r="B96" s="2" t="s">
        <v>3</v>
      </c>
      <c r="E96" s="27" t="n">
        <v>0.086</v>
      </c>
      <c r="F96" s="27" t="n">
        <v>0.085</v>
      </c>
      <c r="G96" s="27" t="n">
        <v>0.085</v>
      </c>
      <c r="H96" s="27" t="n">
        <v>0.085</v>
      </c>
      <c r="I96" s="27" t="n">
        <v>0.0855</v>
      </c>
      <c r="J96" s="27" t="n">
        <v>0.086</v>
      </c>
      <c r="K96" s="27" t="n">
        <v>0.086</v>
      </c>
      <c r="L96" s="27" t="n">
        <v>0.086</v>
      </c>
      <c r="M96" s="27" t="n">
        <v>0.086</v>
      </c>
      <c r="N96" s="27" t="n">
        <v>0.086</v>
      </c>
      <c r="O96" s="2" t="s">
        <v>258</v>
      </c>
    </row>
    <row r="97" customFormat="false" ht="15" hidden="false" customHeight="false" outlineLevel="0" collapsed="false">
      <c r="A97" s="7"/>
      <c r="B97" s="2" t="s">
        <v>4</v>
      </c>
      <c r="E97" s="27" t="n">
        <v>0.087</v>
      </c>
      <c r="F97" s="27" t="n">
        <v>0.088</v>
      </c>
      <c r="G97" s="27" t="n">
        <v>0.089</v>
      </c>
      <c r="H97" s="27" t="n">
        <v>0.09</v>
      </c>
      <c r="I97" s="27" t="n">
        <v>0.0905</v>
      </c>
      <c r="J97" s="27" t="n">
        <v>0.091</v>
      </c>
      <c r="K97" s="27" t="n">
        <v>0.091</v>
      </c>
      <c r="L97" s="27" t="n">
        <v>0.091</v>
      </c>
      <c r="M97" s="27" t="n">
        <v>0.091</v>
      </c>
      <c r="N97" s="27" t="n">
        <v>0.091</v>
      </c>
    </row>
    <row r="98" customFormat="false" ht="15" hidden="false" customHeight="false" outlineLevel="0" collapsed="false">
      <c r="A98" s="33"/>
      <c r="B98" s="34" t="s">
        <v>5</v>
      </c>
      <c r="C98" s="35"/>
      <c r="D98" s="35"/>
      <c r="E98" s="37" t="n">
        <v>0.0875</v>
      </c>
      <c r="F98" s="37" t="n">
        <v>0.0885</v>
      </c>
      <c r="G98" s="37" t="n">
        <v>0.09</v>
      </c>
      <c r="H98" s="37" t="n">
        <v>0.091</v>
      </c>
      <c r="I98" s="37" t="n">
        <v>0.092</v>
      </c>
      <c r="J98" s="37" t="n">
        <v>0.0925</v>
      </c>
      <c r="K98" s="37" t="n">
        <v>0.093</v>
      </c>
      <c r="L98" s="37" t="n">
        <v>0.093</v>
      </c>
      <c r="M98" s="37" t="n">
        <v>0.093</v>
      </c>
      <c r="N98" s="37" t="n">
        <v>0.093</v>
      </c>
      <c r="O98" s="35"/>
    </row>
    <row r="99" customFormat="false" ht="15" hidden="false" customHeight="false" outlineLevel="0" collapsed="false">
      <c r="A99" s="7" t="s">
        <v>259</v>
      </c>
      <c r="B99" s="2" t="s">
        <v>3</v>
      </c>
      <c r="E99" s="17" t="n">
        <v>-25</v>
      </c>
      <c r="F99" s="17" t="n">
        <v>-75</v>
      </c>
      <c r="G99" s="17" t="n">
        <v>-80</v>
      </c>
      <c r="H99" s="17" t="n">
        <v>-88</v>
      </c>
      <c r="I99" s="17" t="n">
        <v>-95</v>
      </c>
      <c r="J99" s="17" t="n">
        <v>-100</v>
      </c>
      <c r="K99" s="17" t="n">
        <v>-106</v>
      </c>
      <c r="L99" s="17" t="n">
        <v>-111</v>
      </c>
      <c r="M99" s="17" t="n">
        <v>-116</v>
      </c>
      <c r="N99" s="17" t="n">
        <v>-121</v>
      </c>
      <c r="O99" s="2" t="s">
        <v>260</v>
      </c>
    </row>
    <row r="100" customFormat="false" ht="15" hidden="false" customHeight="false" outlineLevel="0" collapsed="false">
      <c r="A100" s="7"/>
      <c r="B100" s="2" t="s">
        <v>4</v>
      </c>
      <c r="E100" s="17" t="n">
        <v>-15</v>
      </c>
      <c r="F100" s="17" t="n">
        <v>-40</v>
      </c>
      <c r="G100" s="17" t="n">
        <v>-44</v>
      </c>
      <c r="H100" s="17" t="n">
        <v>-48</v>
      </c>
      <c r="I100" s="17" t="n">
        <v>-52</v>
      </c>
      <c r="J100" s="17" t="n">
        <v>-56</v>
      </c>
      <c r="K100" s="17" t="n">
        <v>-60</v>
      </c>
      <c r="L100" s="17" t="n">
        <v>-63</v>
      </c>
      <c r="M100" s="17" t="n">
        <v>-66</v>
      </c>
      <c r="N100" s="17" t="n">
        <v>-69</v>
      </c>
    </row>
    <row r="101" customFormat="false" ht="15" hidden="false" customHeight="false" outlineLevel="0" collapsed="false">
      <c r="A101" s="33"/>
      <c r="B101" s="34" t="s">
        <v>5</v>
      </c>
      <c r="C101" s="35"/>
      <c r="D101" s="35"/>
      <c r="E101" s="39" t="n">
        <v>-10</v>
      </c>
      <c r="F101" s="39" t="n">
        <v>-30</v>
      </c>
      <c r="G101" s="39" t="n">
        <v>-32</v>
      </c>
      <c r="H101" s="39" t="n">
        <v>-34</v>
      </c>
      <c r="I101" s="39" t="n">
        <v>-36</v>
      </c>
      <c r="J101" s="39" t="n">
        <v>-38</v>
      </c>
      <c r="K101" s="39" t="n">
        <v>-40</v>
      </c>
      <c r="L101" s="39" t="n">
        <v>-42</v>
      </c>
      <c r="M101" s="39" t="n">
        <v>-44</v>
      </c>
      <c r="N101" s="39" t="n">
        <v>-46</v>
      </c>
      <c r="O101" s="35"/>
    </row>
    <row r="102" customFormat="false" ht="15" hidden="false" customHeight="false" outlineLevel="0" collapsed="false">
      <c r="A102" s="7" t="s">
        <v>261</v>
      </c>
      <c r="B102" s="2" t="s">
        <v>3</v>
      </c>
      <c r="E102" s="32" t="n">
        <v>0.7</v>
      </c>
      <c r="F102" s="32" t="n">
        <v>0.32</v>
      </c>
      <c r="G102" s="32" t="n">
        <v>0.25</v>
      </c>
      <c r="H102" s="32" t="n">
        <v>0.18</v>
      </c>
      <c r="I102" s="32" t="n">
        <v>0.15</v>
      </c>
      <c r="J102" s="32" t="n">
        <v>0.12</v>
      </c>
      <c r="K102" s="32" t="n">
        <v>0.1</v>
      </c>
      <c r="L102" s="32" t="n">
        <v>0.09</v>
      </c>
      <c r="M102" s="32" t="n">
        <v>0.08</v>
      </c>
      <c r="N102" s="32" t="n">
        <v>0.07</v>
      </c>
      <c r="O102" s="2" t="s">
        <v>262</v>
      </c>
    </row>
    <row r="103" customFormat="false" ht="15" hidden="false" customHeight="false" outlineLevel="0" collapsed="false">
      <c r="A103" s="7"/>
      <c r="B103" s="2" t="s">
        <v>4</v>
      </c>
      <c r="E103" s="32" t="n">
        <v>0.73</v>
      </c>
      <c r="F103" s="32" t="n">
        <v>0.4</v>
      </c>
      <c r="G103" s="32" t="n">
        <v>0.3</v>
      </c>
      <c r="H103" s="32" t="n">
        <v>0.24</v>
      </c>
      <c r="I103" s="32" t="n">
        <v>0.2</v>
      </c>
      <c r="J103" s="32" t="n">
        <v>0.18</v>
      </c>
      <c r="K103" s="32" t="n">
        <v>0.15</v>
      </c>
      <c r="L103" s="32" t="n">
        <v>0.13</v>
      </c>
      <c r="M103" s="32" t="n">
        <v>0.11</v>
      </c>
      <c r="N103" s="32" t="n">
        <v>0.1</v>
      </c>
    </row>
    <row r="104" customFormat="false" ht="15" hidden="false" customHeight="false" outlineLevel="0" collapsed="false">
      <c r="A104" s="33"/>
      <c r="B104" s="34" t="s">
        <v>5</v>
      </c>
      <c r="C104" s="35"/>
      <c r="D104" s="35"/>
      <c r="E104" s="36" t="n">
        <v>0.75</v>
      </c>
      <c r="F104" s="36" t="n">
        <v>0.46</v>
      </c>
      <c r="G104" s="36" t="n">
        <v>0.34</v>
      </c>
      <c r="H104" s="36" t="n">
        <v>0.27</v>
      </c>
      <c r="I104" s="36" t="n">
        <v>0.23</v>
      </c>
      <c r="J104" s="36" t="n">
        <v>0.2</v>
      </c>
      <c r="K104" s="36" t="n">
        <v>0.17</v>
      </c>
      <c r="L104" s="36" t="n">
        <v>0.14</v>
      </c>
      <c r="M104" s="36" t="n">
        <v>0.12</v>
      </c>
      <c r="N104" s="36" t="n">
        <v>0.1</v>
      </c>
      <c r="O104" s="35"/>
    </row>
    <row r="105" customFormat="false" ht="15" hidden="false" customHeight="false" outlineLevel="0" collapsed="false">
      <c r="A105" s="7" t="s">
        <v>263</v>
      </c>
      <c r="B105" s="2" t="s">
        <v>3</v>
      </c>
      <c r="E105" s="32" t="n">
        <v>-0.055</v>
      </c>
      <c r="F105" s="32" t="n">
        <v>0.03</v>
      </c>
      <c r="G105" s="32" t="n">
        <v>0.1</v>
      </c>
      <c r="H105" s="32" t="n">
        <v>0.13</v>
      </c>
      <c r="I105" s="32" t="n">
        <v>0.16</v>
      </c>
      <c r="J105" s="32" t="n">
        <v>0.18</v>
      </c>
      <c r="K105" s="32" t="n">
        <v>0.19</v>
      </c>
      <c r="L105" s="32" t="n">
        <v>0.2</v>
      </c>
      <c r="M105" s="32" t="n">
        <v>0.2</v>
      </c>
      <c r="N105" s="32" t="n">
        <v>0.2</v>
      </c>
      <c r="O105" s="2" t="s">
        <v>264</v>
      </c>
    </row>
    <row r="106" customFormat="false" ht="15" hidden="false" customHeight="false" outlineLevel="0" collapsed="false">
      <c r="A106" s="7"/>
      <c r="B106" s="2" t="s">
        <v>4</v>
      </c>
      <c r="E106" s="32" t="n">
        <v>-0.045</v>
      </c>
      <c r="F106" s="32" t="n">
        <v>0.09</v>
      </c>
      <c r="G106" s="32" t="n">
        <v>0.16</v>
      </c>
      <c r="H106" s="32" t="n">
        <v>0.2</v>
      </c>
      <c r="I106" s="32" t="n">
        <v>0.23</v>
      </c>
      <c r="J106" s="32" t="n">
        <v>0.25</v>
      </c>
      <c r="K106" s="32" t="n">
        <v>0.26</v>
      </c>
      <c r="L106" s="32" t="n">
        <v>0.27</v>
      </c>
      <c r="M106" s="32" t="n">
        <v>0.27</v>
      </c>
      <c r="N106" s="32" t="n">
        <v>0.27</v>
      </c>
    </row>
    <row r="107" customFormat="false" ht="15" hidden="false" customHeight="false" outlineLevel="0" collapsed="false">
      <c r="A107" s="33"/>
      <c r="B107" s="34" t="s">
        <v>5</v>
      </c>
      <c r="C107" s="35"/>
      <c r="D107" s="35"/>
      <c r="E107" s="36" t="n">
        <v>-0.04</v>
      </c>
      <c r="F107" s="36" t="n">
        <v>0.11</v>
      </c>
      <c r="G107" s="36" t="n">
        <v>0.18</v>
      </c>
      <c r="H107" s="36" t="n">
        <v>0.23</v>
      </c>
      <c r="I107" s="36" t="n">
        <v>0.26</v>
      </c>
      <c r="J107" s="36" t="n">
        <v>0.28</v>
      </c>
      <c r="K107" s="36" t="n">
        <v>0.29</v>
      </c>
      <c r="L107" s="36" t="n">
        <v>0.3</v>
      </c>
      <c r="M107" s="36" t="n">
        <v>0.3</v>
      </c>
      <c r="N107" s="36" t="n">
        <v>0.3</v>
      </c>
      <c r="O107" s="35"/>
    </row>
    <row r="108" customFormat="false" ht="15" hidden="false" customHeight="false" outlineLevel="0" collapsed="false">
      <c r="A108" s="7" t="s">
        <v>265</v>
      </c>
      <c r="B108" s="2" t="s">
        <v>3</v>
      </c>
      <c r="E108" s="32" t="n">
        <v>1.35</v>
      </c>
      <c r="F108" s="32" t="n">
        <v>0.25</v>
      </c>
      <c r="G108" s="32" t="n">
        <v>0.18</v>
      </c>
      <c r="H108" s="32" t="n">
        <v>0.15</v>
      </c>
      <c r="I108" s="32" t="n">
        <v>0.12</v>
      </c>
      <c r="J108" s="32" t="n">
        <v>0.1</v>
      </c>
      <c r="K108" s="32" t="n">
        <v>0.09</v>
      </c>
      <c r="L108" s="32" t="n">
        <v>0.08</v>
      </c>
      <c r="M108" s="32" t="n">
        <v>0.07</v>
      </c>
      <c r="N108" s="32" t="n">
        <v>0.06</v>
      </c>
      <c r="O108" s="2" t="s">
        <v>266</v>
      </c>
    </row>
    <row r="109" customFormat="false" ht="15" hidden="false" customHeight="false" outlineLevel="0" collapsed="false">
      <c r="A109" s="7"/>
      <c r="B109" s="2" t="s">
        <v>4</v>
      </c>
      <c r="E109" s="32" t="n">
        <v>1.43</v>
      </c>
      <c r="F109" s="32" t="n">
        <v>0.35</v>
      </c>
      <c r="G109" s="32" t="n">
        <v>0.3</v>
      </c>
      <c r="H109" s="32" t="n">
        <v>0.22</v>
      </c>
      <c r="I109" s="32" t="n">
        <v>0.18</v>
      </c>
      <c r="J109" s="32" t="n">
        <v>0.15</v>
      </c>
      <c r="K109" s="32" t="n">
        <v>0.12</v>
      </c>
      <c r="L109" s="32" t="n">
        <v>0.1</v>
      </c>
      <c r="M109" s="32" t="n">
        <v>0.09</v>
      </c>
      <c r="N109" s="32" t="n">
        <v>0.08</v>
      </c>
    </row>
    <row r="110" customFormat="false" ht="15" hidden="false" customHeight="false" outlineLevel="0" collapsed="false">
      <c r="A110" s="33"/>
      <c r="B110" s="34" t="s">
        <v>5</v>
      </c>
      <c r="C110" s="35"/>
      <c r="D110" s="35"/>
      <c r="E110" s="36" t="n">
        <v>1.48</v>
      </c>
      <c r="F110" s="36" t="n">
        <v>0.42</v>
      </c>
      <c r="G110" s="36" t="n">
        <v>0.35</v>
      </c>
      <c r="H110" s="36" t="n">
        <v>0.26</v>
      </c>
      <c r="I110" s="36" t="n">
        <v>0.21</v>
      </c>
      <c r="J110" s="36" t="n">
        <v>0.18</v>
      </c>
      <c r="K110" s="36" t="n">
        <v>0.15</v>
      </c>
      <c r="L110" s="36" t="n">
        <v>0.12</v>
      </c>
      <c r="M110" s="36" t="n">
        <v>0.1</v>
      </c>
      <c r="N110" s="36" t="n">
        <v>0.09</v>
      </c>
      <c r="O110" s="35"/>
    </row>
    <row r="111" customFormat="false" ht="15" hidden="false" customHeight="false" outlineLevel="0" collapsed="false">
      <c r="A111" s="7" t="s">
        <v>267</v>
      </c>
      <c r="B111" s="2" t="s">
        <v>3</v>
      </c>
      <c r="E111" s="17" t="n">
        <v>480</v>
      </c>
      <c r="F111" s="17" t="n">
        <v>520</v>
      </c>
      <c r="G111" s="17" t="n">
        <v>580</v>
      </c>
      <c r="H111" s="17" t="n">
        <v>640</v>
      </c>
      <c r="I111" s="17" t="n">
        <v>700</v>
      </c>
      <c r="J111" s="17" t="n">
        <v>750</v>
      </c>
      <c r="K111" s="17" t="n">
        <v>800</v>
      </c>
      <c r="L111" s="17" t="n">
        <v>850</v>
      </c>
      <c r="M111" s="17" t="n">
        <v>890</v>
      </c>
      <c r="N111" s="17" t="n">
        <v>930</v>
      </c>
      <c r="O111" s="2" t="s">
        <v>268</v>
      </c>
    </row>
    <row r="112" customFormat="false" ht="15" hidden="false" customHeight="false" outlineLevel="0" collapsed="false">
      <c r="A112" s="7"/>
      <c r="B112" s="2" t="s">
        <v>4</v>
      </c>
      <c r="E112" s="17" t="n">
        <v>500</v>
      </c>
      <c r="F112" s="17" t="n">
        <v>560</v>
      </c>
      <c r="G112" s="17" t="n">
        <v>700</v>
      </c>
      <c r="H112" s="17" t="n">
        <v>850</v>
      </c>
      <c r="I112" s="17" t="n">
        <v>980</v>
      </c>
      <c r="J112" s="17" t="n">
        <v>1100</v>
      </c>
      <c r="K112" s="17" t="n">
        <v>1210</v>
      </c>
      <c r="L112" s="17" t="n">
        <v>1320</v>
      </c>
      <c r="M112" s="17" t="n">
        <v>1420</v>
      </c>
      <c r="N112" s="17" t="n">
        <v>1520</v>
      </c>
    </row>
    <row r="113" customFormat="false" ht="15" hidden="false" customHeight="false" outlineLevel="0" collapsed="false">
      <c r="A113" s="33"/>
      <c r="B113" s="34" t="s">
        <v>5</v>
      </c>
      <c r="C113" s="35"/>
      <c r="D113" s="35"/>
      <c r="E113" s="39" t="n">
        <v>500</v>
      </c>
      <c r="F113" s="39" t="n">
        <v>580</v>
      </c>
      <c r="G113" s="39" t="n">
        <v>760</v>
      </c>
      <c r="H113" s="39" t="n">
        <v>920</v>
      </c>
      <c r="I113" s="39" t="n">
        <v>1070</v>
      </c>
      <c r="J113" s="39" t="n">
        <v>1200</v>
      </c>
      <c r="K113" s="39" t="n">
        <v>1320</v>
      </c>
      <c r="L113" s="39" t="n">
        <v>1430</v>
      </c>
      <c r="M113" s="39" t="n">
        <v>1530</v>
      </c>
      <c r="N113" s="39" t="n">
        <v>1630</v>
      </c>
      <c r="O113" s="35"/>
    </row>
    <row r="114" customFormat="false" ht="15" hidden="false" customHeight="false" outlineLevel="0" collapsed="false">
      <c r="A114" s="7" t="s">
        <v>269</v>
      </c>
      <c r="B114" s="2" t="s">
        <v>3</v>
      </c>
      <c r="E114" s="23" t="n">
        <v>0</v>
      </c>
      <c r="F114" s="23" t="n">
        <v>0</v>
      </c>
      <c r="G114" s="23" t="n">
        <v>1</v>
      </c>
      <c r="H114" s="23" t="n">
        <v>1</v>
      </c>
      <c r="I114" s="23" t="n">
        <v>1</v>
      </c>
      <c r="J114" s="23" t="n">
        <v>1</v>
      </c>
      <c r="K114" s="23" t="n">
        <v>1</v>
      </c>
      <c r="L114" s="23" t="n">
        <v>1</v>
      </c>
      <c r="M114" s="23" t="n">
        <v>1</v>
      </c>
      <c r="N114" s="23" t="n">
        <v>1</v>
      </c>
      <c r="O114" s="2" t="s">
        <v>270</v>
      </c>
    </row>
    <row r="115" customFormat="false" ht="15" hidden="false" customHeight="false" outlineLevel="0" collapsed="false">
      <c r="A115" s="7"/>
      <c r="B115" s="2" t="s">
        <v>4</v>
      </c>
      <c r="E115" s="23" t="n">
        <v>0</v>
      </c>
      <c r="F115" s="23" t="n">
        <v>0.25</v>
      </c>
      <c r="G115" s="23" t="n">
        <v>1</v>
      </c>
      <c r="H115" s="23" t="n">
        <v>1</v>
      </c>
      <c r="I115" s="23" t="n">
        <v>1</v>
      </c>
      <c r="J115" s="23" t="n">
        <v>1</v>
      </c>
      <c r="K115" s="23" t="n">
        <v>1</v>
      </c>
      <c r="L115" s="23" t="n">
        <v>1</v>
      </c>
      <c r="M115" s="23" t="n">
        <v>1</v>
      </c>
      <c r="N115" s="23" t="n">
        <v>1</v>
      </c>
    </row>
    <row r="116" customFormat="false" ht="15" hidden="false" customHeight="false" outlineLevel="0" collapsed="false">
      <c r="A116" s="33"/>
      <c r="B116" s="34" t="s">
        <v>5</v>
      </c>
      <c r="C116" s="35"/>
      <c r="D116" s="35"/>
      <c r="E116" s="38" t="n">
        <v>0</v>
      </c>
      <c r="F116" s="38" t="n">
        <v>0.5</v>
      </c>
      <c r="G116" s="38" t="n">
        <v>1</v>
      </c>
      <c r="H116" s="38" t="n">
        <v>1</v>
      </c>
      <c r="I116" s="38" t="n">
        <v>1</v>
      </c>
      <c r="J116" s="38" t="n">
        <v>1</v>
      </c>
      <c r="K116" s="38" t="n">
        <v>1</v>
      </c>
      <c r="L116" s="38" t="n">
        <v>1</v>
      </c>
      <c r="M116" s="38" t="n">
        <v>1</v>
      </c>
      <c r="N116" s="38" t="n">
        <v>1</v>
      </c>
      <c r="O116" s="35"/>
    </row>
    <row r="117" customFormat="false" ht="15" hidden="false" customHeight="false" outlineLevel="0" collapsed="false">
      <c r="A117" s="7" t="s">
        <v>271</v>
      </c>
      <c r="B117" s="2" t="s">
        <v>3</v>
      </c>
      <c r="E117" s="32" t="n">
        <v>0.15</v>
      </c>
      <c r="F117" s="32" t="n">
        <v>0.15</v>
      </c>
      <c r="G117" s="32" t="n">
        <v>0.19</v>
      </c>
      <c r="H117" s="32" t="n">
        <v>0.2</v>
      </c>
      <c r="I117" s="32" t="n">
        <v>0.21</v>
      </c>
      <c r="J117" s="32" t="n">
        <v>0.22</v>
      </c>
      <c r="K117" s="32" t="n">
        <v>0.22</v>
      </c>
      <c r="L117" s="32" t="n">
        <v>0.22</v>
      </c>
      <c r="M117" s="32" t="n">
        <v>0.22</v>
      </c>
      <c r="N117" s="32" t="n">
        <v>0.22</v>
      </c>
      <c r="O117" s="2" t="s">
        <v>272</v>
      </c>
    </row>
    <row r="118" customFormat="false" ht="15" hidden="false" customHeight="false" outlineLevel="0" collapsed="false">
      <c r="A118" s="7"/>
      <c r="B118" s="2" t="s">
        <v>4</v>
      </c>
      <c r="E118" s="32" t="n">
        <v>0.17</v>
      </c>
      <c r="F118" s="32" t="n">
        <v>0.18</v>
      </c>
      <c r="G118" s="32" t="n">
        <v>0.25</v>
      </c>
      <c r="H118" s="32" t="n">
        <v>0.27</v>
      </c>
      <c r="I118" s="32" t="n">
        <v>0.28</v>
      </c>
      <c r="J118" s="32" t="n">
        <v>0.28</v>
      </c>
      <c r="K118" s="32" t="n">
        <v>0.28</v>
      </c>
      <c r="L118" s="32" t="n">
        <v>0.28</v>
      </c>
      <c r="M118" s="32" t="n">
        <v>0.28</v>
      </c>
      <c r="N118" s="32" t="n">
        <v>0.28</v>
      </c>
    </row>
    <row r="119" customFormat="false" ht="15" hidden="false" customHeight="false" outlineLevel="0" collapsed="false">
      <c r="A119" s="33"/>
      <c r="B119" s="34" t="s">
        <v>5</v>
      </c>
      <c r="C119" s="35"/>
      <c r="D119" s="35"/>
      <c r="E119" s="36" t="n">
        <v>0.18</v>
      </c>
      <c r="F119" s="36" t="n">
        <v>0.2</v>
      </c>
      <c r="G119" s="36" t="n">
        <v>0.28</v>
      </c>
      <c r="H119" s="36" t="n">
        <v>0.3</v>
      </c>
      <c r="I119" s="36" t="n">
        <v>0.31</v>
      </c>
      <c r="J119" s="36" t="n">
        <v>0.31</v>
      </c>
      <c r="K119" s="36" t="n">
        <v>0.31</v>
      </c>
      <c r="L119" s="36" t="n">
        <v>0.31</v>
      </c>
      <c r="M119" s="36" t="n">
        <v>0.31</v>
      </c>
      <c r="N119" s="36" t="n">
        <v>0.31</v>
      </c>
      <c r="O119" s="35"/>
    </row>
    <row r="120" customFormat="false" ht="15" hidden="false" customHeight="false" outlineLevel="0" collapsed="false">
      <c r="A120" s="7" t="s">
        <v>273</v>
      </c>
      <c r="B120" s="2" t="s">
        <v>3</v>
      </c>
      <c r="E120" s="17" t="n">
        <v>1000</v>
      </c>
      <c r="F120" s="17" t="n">
        <v>1150</v>
      </c>
      <c r="G120" s="17" t="n">
        <v>1300</v>
      </c>
      <c r="H120" s="17" t="n">
        <v>1450</v>
      </c>
      <c r="I120" s="17" t="n">
        <v>1600</v>
      </c>
      <c r="J120" s="17" t="n">
        <v>1730</v>
      </c>
      <c r="K120" s="17" t="n">
        <v>1850</v>
      </c>
      <c r="L120" s="17" t="n">
        <v>1960</v>
      </c>
      <c r="M120" s="17" t="n">
        <v>2060</v>
      </c>
      <c r="N120" s="17" t="n">
        <v>2150</v>
      </c>
      <c r="O120" s="2" t="s">
        <v>274</v>
      </c>
    </row>
    <row r="121" customFormat="false" ht="15" hidden="false" customHeight="false" outlineLevel="0" collapsed="false">
      <c r="A121" s="7"/>
      <c r="B121" s="2" t="s">
        <v>4</v>
      </c>
      <c r="E121" s="17" t="n">
        <v>1050</v>
      </c>
      <c r="F121" s="17" t="n">
        <v>1300</v>
      </c>
      <c r="G121" s="17" t="n">
        <v>1650</v>
      </c>
      <c r="H121" s="17" t="n">
        <v>2000</v>
      </c>
      <c r="I121" s="17" t="n">
        <v>2330</v>
      </c>
      <c r="J121" s="17" t="n">
        <v>2620</v>
      </c>
      <c r="K121" s="17" t="n">
        <v>2880</v>
      </c>
      <c r="L121" s="17" t="n">
        <v>3110</v>
      </c>
      <c r="M121" s="17" t="n">
        <v>3330</v>
      </c>
      <c r="N121" s="17" t="n">
        <v>3530</v>
      </c>
    </row>
    <row r="122" customFormat="false" ht="15" hidden="false" customHeight="false" outlineLevel="0" collapsed="false">
      <c r="A122" s="33"/>
      <c r="B122" s="34" t="s">
        <v>5</v>
      </c>
      <c r="C122" s="35"/>
      <c r="D122" s="35"/>
      <c r="E122" s="39" t="n">
        <v>1050</v>
      </c>
      <c r="F122" s="39" t="n">
        <v>1350</v>
      </c>
      <c r="G122" s="39" t="n">
        <v>1800</v>
      </c>
      <c r="H122" s="39" t="n">
        <v>2200</v>
      </c>
      <c r="I122" s="39" t="n">
        <v>2580</v>
      </c>
      <c r="J122" s="39" t="n">
        <v>2910</v>
      </c>
      <c r="K122" s="39" t="n">
        <v>3200</v>
      </c>
      <c r="L122" s="39" t="n">
        <v>3460</v>
      </c>
      <c r="M122" s="39" t="n">
        <v>3700</v>
      </c>
      <c r="N122" s="39" t="n">
        <v>3920</v>
      </c>
      <c r="O122" s="35"/>
    </row>
    <row r="123" customFormat="false" ht="15" hidden="false" customHeight="false" outlineLevel="0" collapsed="false">
      <c r="A123" s="7" t="s">
        <v>275</v>
      </c>
      <c r="B123" s="2" t="s">
        <v>3</v>
      </c>
      <c r="E123" s="32" t="n">
        <v>0</v>
      </c>
      <c r="F123" s="32" t="n">
        <v>0</v>
      </c>
      <c r="G123" s="32" t="n">
        <v>0.4</v>
      </c>
      <c r="H123" s="32" t="n">
        <v>0.4</v>
      </c>
      <c r="I123" s="32" t="n">
        <v>0</v>
      </c>
      <c r="J123" s="32" t="n">
        <v>0</v>
      </c>
      <c r="K123" s="32" t="n">
        <v>0</v>
      </c>
      <c r="L123" s="32" t="n">
        <v>0</v>
      </c>
      <c r="M123" s="32" t="n">
        <v>0</v>
      </c>
      <c r="N123" s="32" t="n">
        <v>0</v>
      </c>
      <c r="O123" s="2" t="s">
        <v>276</v>
      </c>
    </row>
    <row r="124" customFormat="false" ht="15" hidden="false" customHeight="false" outlineLevel="0" collapsed="false">
      <c r="A124" s="7"/>
      <c r="B124" s="2" t="s">
        <v>4</v>
      </c>
      <c r="E124" s="32" t="n">
        <v>0</v>
      </c>
      <c r="F124" s="32" t="n">
        <v>0.4</v>
      </c>
      <c r="G124" s="32" t="n">
        <v>0.4</v>
      </c>
      <c r="H124" s="32" t="n">
        <v>0.4</v>
      </c>
      <c r="I124" s="32" t="n">
        <v>0</v>
      </c>
      <c r="J124" s="32" t="n">
        <v>0</v>
      </c>
      <c r="K124" s="32" t="n">
        <v>0</v>
      </c>
      <c r="L124" s="32" t="n">
        <v>0</v>
      </c>
      <c r="M124" s="32" t="n">
        <v>0</v>
      </c>
      <c r="N124" s="32" t="n">
        <v>0</v>
      </c>
    </row>
    <row r="125" customFormat="false" ht="15" hidden="false" customHeight="false" outlineLevel="0" collapsed="false">
      <c r="A125" s="33"/>
      <c r="B125" s="34" t="s">
        <v>5</v>
      </c>
      <c r="C125" s="35"/>
      <c r="D125" s="35"/>
      <c r="E125" s="36" t="n">
        <v>0</v>
      </c>
      <c r="F125" s="36" t="n">
        <v>0.4</v>
      </c>
      <c r="G125" s="36" t="n">
        <v>0.4</v>
      </c>
      <c r="H125" s="36" t="n">
        <v>0.2</v>
      </c>
      <c r="I125" s="36" t="n">
        <v>0</v>
      </c>
      <c r="J125" s="36" t="n">
        <v>0</v>
      </c>
      <c r="K125" s="36" t="n">
        <v>0</v>
      </c>
      <c r="L125" s="36" t="n">
        <v>0</v>
      </c>
      <c r="M125" s="36" t="n">
        <v>0</v>
      </c>
      <c r="N125" s="36" t="n">
        <v>0</v>
      </c>
      <c r="O125" s="35"/>
    </row>
    <row r="126" customFormat="false" ht="15" hidden="false" customHeight="false" outlineLevel="0" collapsed="false">
      <c r="A126" s="7" t="s">
        <v>277</v>
      </c>
      <c r="B126" s="2" t="s">
        <v>3</v>
      </c>
      <c r="E126" s="32" t="n">
        <v>0.155</v>
      </c>
      <c r="F126" s="32" t="n">
        <v>0.1</v>
      </c>
      <c r="G126" s="32" t="n">
        <v>0.08</v>
      </c>
      <c r="H126" s="32" t="n">
        <v>0.08</v>
      </c>
      <c r="I126" s="32" t="n">
        <v>0.07</v>
      </c>
      <c r="J126" s="32" t="n">
        <v>0.06</v>
      </c>
      <c r="K126" s="32" t="n">
        <v>0.06</v>
      </c>
      <c r="L126" s="32" t="n">
        <v>0.05</v>
      </c>
      <c r="M126" s="32" t="n">
        <v>0.05</v>
      </c>
      <c r="N126" s="32" t="n">
        <v>0.05</v>
      </c>
      <c r="O126" s="2" t="s">
        <v>278</v>
      </c>
    </row>
    <row r="127" customFormat="false" ht="15" hidden="false" customHeight="false" outlineLevel="0" collapsed="false">
      <c r="A127" s="7"/>
      <c r="B127" s="2" t="s">
        <v>4</v>
      </c>
      <c r="E127" s="32" t="n">
        <v>0.155</v>
      </c>
      <c r="F127" s="32" t="n">
        <v>0.09</v>
      </c>
      <c r="G127" s="32" t="n">
        <v>0.08</v>
      </c>
      <c r="H127" s="32" t="n">
        <v>0.07</v>
      </c>
      <c r="I127" s="32" t="n">
        <v>0.06</v>
      </c>
      <c r="J127" s="32" t="n">
        <v>0.06</v>
      </c>
      <c r="K127" s="32" t="n">
        <v>0.05</v>
      </c>
      <c r="L127" s="32" t="n">
        <v>0.05</v>
      </c>
      <c r="M127" s="32" t="n">
        <v>0.04</v>
      </c>
      <c r="N127" s="32" t="n">
        <v>0.04</v>
      </c>
    </row>
    <row r="128" customFormat="false" ht="15" hidden="false" customHeight="false" outlineLevel="0" collapsed="false">
      <c r="A128" s="33"/>
      <c r="B128" s="34" t="s">
        <v>5</v>
      </c>
      <c r="C128" s="35"/>
      <c r="D128" s="35"/>
      <c r="E128" s="36" t="n">
        <v>0.155</v>
      </c>
      <c r="F128" s="36" t="n">
        <v>0.08</v>
      </c>
      <c r="G128" s="36" t="n">
        <v>0.07</v>
      </c>
      <c r="H128" s="36" t="n">
        <v>0.06</v>
      </c>
      <c r="I128" s="36" t="n">
        <v>0.05</v>
      </c>
      <c r="J128" s="36" t="n">
        <v>0.05</v>
      </c>
      <c r="K128" s="36" t="n">
        <v>0.04</v>
      </c>
      <c r="L128" s="36" t="n">
        <v>0.04</v>
      </c>
      <c r="M128" s="36" t="n">
        <v>0.04</v>
      </c>
      <c r="N128" s="36" t="n">
        <v>0.04</v>
      </c>
      <c r="O128" s="35"/>
    </row>
    <row r="129" customFormat="false" ht="15" hidden="false" customHeight="false" outlineLevel="0" collapsed="false">
      <c r="A129" s="7" t="s">
        <v>279</v>
      </c>
      <c r="B129" s="2" t="s">
        <v>3</v>
      </c>
      <c r="E129" s="32" t="n">
        <v>0.065</v>
      </c>
      <c r="F129" s="32" t="n">
        <v>0.06</v>
      </c>
      <c r="G129" s="32" t="n">
        <v>0.055</v>
      </c>
      <c r="H129" s="32" t="n">
        <v>0.051</v>
      </c>
      <c r="I129" s="32" t="n">
        <v>0.048</v>
      </c>
      <c r="J129" s="32" t="n">
        <v>0.045</v>
      </c>
      <c r="K129" s="32" t="n">
        <v>0.043</v>
      </c>
      <c r="L129" s="32" t="n">
        <v>0.041</v>
      </c>
      <c r="M129" s="32" t="n">
        <v>0.039</v>
      </c>
      <c r="N129" s="32" t="n">
        <v>0.038</v>
      </c>
      <c r="O129" s="2" t="s">
        <v>280</v>
      </c>
    </row>
    <row r="130" customFormat="false" ht="15" hidden="false" customHeight="false" outlineLevel="0" collapsed="false">
      <c r="A130" s="7"/>
      <c r="B130" s="2" t="s">
        <v>4</v>
      </c>
      <c r="E130" s="32" t="n">
        <v>0.065</v>
      </c>
      <c r="F130" s="32" t="n">
        <v>0.058</v>
      </c>
      <c r="G130" s="32" t="n">
        <v>0.052</v>
      </c>
      <c r="H130" s="32" t="n">
        <v>0.048</v>
      </c>
      <c r="I130" s="32" t="n">
        <v>0.045</v>
      </c>
      <c r="J130" s="32" t="n">
        <v>0.042</v>
      </c>
      <c r="K130" s="32" t="n">
        <v>0.04</v>
      </c>
      <c r="L130" s="32" t="n">
        <v>0.038</v>
      </c>
      <c r="M130" s="32" t="n">
        <v>0.036</v>
      </c>
      <c r="N130" s="32" t="n">
        <v>0.035</v>
      </c>
    </row>
    <row r="131" customFormat="false" ht="15" hidden="false" customHeight="false" outlineLevel="0" collapsed="false">
      <c r="A131" s="33"/>
      <c r="B131" s="34" t="s">
        <v>5</v>
      </c>
      <c r="C131" s="35"/>
      <c r="D131" s="35"/>
      <c r="E131" s="36" t="n">
        <v>0.065</v>
      </c>
      <c r="F131" s="36" t="n">
        <v>0.057</v>
      </c>
      <c r="G131" s="36" t="n">
        <v>0.051</v>
      </c>
      <c r="H131" s="36" t="n">
        <v>0.047</v>
      </c>
      <c r="I131" s="36" t="n">
        <v>0.044</v>
      </c>
      <c r="J131" s="36" t="n">
        <v>0.041</v>
      </c>
      <c r="K131" s="36" t="n">
        <v>0.039</v>
      </c>
      <c r="L131" s="36" t="n">
        <v>0.037</v>
      </c>
      <c r="M131" s="36" t="n">
        <v>0.035</v>
      </c>
      <c r="N131" s="36" t="n">
        <v>0.034</v>
      </c>
      <c r="O131" s="35"/>
    </row>
    <row r="132" customFormat="false" ht="15" hidden="false" customHeight="false" outlineLevel="0" collapsed="false">
      <c r="A132" s="7" t="s">
        <v>281</v>
      </c>
      <c r="B132" s="2" t="s">
        <v>3</v>
      </c>
      <c r="E132" s="32" t="n">
        <v>0.055</v>
      </c>
      <c r="F132" s="32" t="n">
        <v>0.052</v>
      </c>
      <c r="G132" s="32" t="n">
        <v>0.05</v>
      </c>
      <c r="H132" s="32" t="n">
        <v>0.048</v>
      </c>
      <c r="I132" s="32" t="n">
        <v>0.046</v>
      </c>
      <c r="J132" s="32" t="n">
        <v>0.045</v>
      </c>
      <c r="K132" s="32" t="n">
        <v>0.044</v>
      </c>
      <c r="L132" s="32" t="n">
        <v>0.043</v>
      </c>
      <c r="M132" s="32" t="n">
        <v>0.042</v>
      </c>
      <c r="N132" s="32" t="n">
        <v>0.041</v>
      </c>
      <c r="O132" s="2" t="s">
        <v>282</v>
      </c>
    </row>
    <row r="133" customFormat="false" ht="15" hidden="false" customHeight="false" outlineLevel="0" collapsed="false">
      <c r="A133" s="7"/>
      <c r="B133" s="2" t="s">
        <v>4</v>
      </c>
      <c r="E133" s="32" t="n">
        <v>0.055</v>
      </c>
      <c r="F133" s="32" t="n">
        <v>0.052</v>
      </c>
      <c r="G133" s="32" t="n">
        <v>0.05</v>
      </c>
      <c r="H133" s="32" t="n">
        <v>0.048</v>
      </c>
      <c r="I133" s="32" t="n">
        <v>0.046</v>
      </c>
      <c r="J133" s="32" t="n">
        <v>0.045</v>
      </c>
      <c r="K133" s="32" t="n">
        <v>0.044</v>
      </c>
      <c r="L133" s="32" t="n">
        <v>0.043</v>
      </c>
      <c r="M133" s="32" t="n">
        <v>0.042</v>
      </c>
      <c r="N133" s="32" t="n">
        <v>0.041</v>
      </c>
    </row>
    <row r="134" customFormat="false" ht="15" hidden="false" customHeight="false" outlineLevel="0" collapsed="false">
      <c r="A134" s="33"/>
      <c r="B134" s="34" t="s">
        <v>5</v>
      </c>
      <c r="C134" s="35"/>
      <c r="D134" s="35"/>
      <c r="E134" s="36" t="n">
        <v>0.055</v>
      </c>
      <c r="F134" s="36" t="n">
        <v>0.052</v>
      </c>
      <c r="G134" s="36" t="n">
        <v>0.05</v>
      </c>
      <c r="H134" s="36" t="n">
        <v>0.048</v>
      </c>
      <c r="I134" s="36" t="n">
        <v>0.046</v>
      </c>
      <c r="J134" s="36" t="n">
        <v>0.045</v>
      </c>
      <c r="K134" s="36" t="n">
        <v>0.044</v>
      </c>
      <c r="L134" s="36" t="n">
        <v>0.043</v>
      </c>
      <c r="M134" s="36" t="n">
        <v>0.042</v>
      </c>
      <c r="N134" s="36" t="n">
        <v>0.041</v>
      </c>
      <c r="O134" s="35"/>
    </row>
    <row r="135" customFormat="false" ht="15" hidden="false" customHeight="false" outlineLevel="0" collapsed="false">
      <c r="A135" s="7" t="s">
        <v>283</v>
      </c>
      <c r="B135" s="2" t="s">
        <v>3</v>
      </c>
      <c r="E135" s="32" t="n">
        <v>0.048</v>
      </c>
      <c r="F135" s="32" t="n">
        <v>0.047</v>
      </c>
      <c r="G135" s="32" t="n">
        <v>0.046</v>
      </c>
      <c r="H135" s="32" t="n">
        <v>0.045</v>
      </c>
      <c r="I135" s="32" t="n">
        <v>0.044</v>
      </c>
      <c r="J135" s="32" t="n">
        <v>0.043</v>
      </c>
      <c r="K135" s="32" t="n">
        <v>0.042</v>
      </c>
      <c r="L135" s="32" t="n">
        <v>0.041</v>
      </c>
      <c r="M135" s="32" t="n">
        <v>0.041</v>
      </c>
      <c r="N135" s="32" t="n">
        <v>0.041</v>
      </c>
      <c r="O135" s="2" t="s">
        <v>284</v>
      </c>
    </row>
    <row r="136" customFormat="false" ht="15" hidden="false" customHeight="false" outlineLevel="0" collapsed="false">
      <c r="A136" s="7"/>
      <c r="B136" s="2" t="s">
        <v>4</v>
      </c>
      <c r="E136" s="32" t="n">
        <v>0.047</v>
      </c>
      <c r="F136" s="32" t="n">
        <v>0.046</v>
      </c>
      <c r="G136" s="32" t="n">
        <v>0.045</v>
      </c>
      <c r="H136" s="32" t="n">
        <v>0.044</v>
      </c>
      <c r="I136" s="32" t="n">
        <v>0.043</v>
      </c>
      <c r="J136" s="32" t="n">
        <v>0.042</v>
      </c>
      <c r="K136" s="32" t="n">
        <v>0.041</v>
      </c>
      <c r="L136" s="32" t="n">
        <v>0.04</v>
      </c>
      <c r="M136" s="32" t="n">
        <v>0.04</v>
      </c>
      <c r="N136" s="32" t="n">
        <v>0.04</v>
      </c>
    </row>
    <row r="137" customFormat="false" ht="15" hidden="false" customHeight="false" outlineLevel="0" collapsed="false">
      <c r="A137" s="33"/>
      <c r="B137" s="34" t="s">
        <v>5</v>
      </c>
      <c r="C137" s="35"/>
      <c r="D137" s="35"/>
      <c r="E137" s="36" t="n">
        <v>0.047</v>
      </c>
      <c r="F137" s="36" t="n">
        <v>0.045</v>
      </c>
      <c r="G137" s="36" t="n">
        <v>0.044</v>
      </c>
      <c r="H137" s="36" t="n">
        <v>0.043</v>
      </c>
      <c r="I137" s="36" t="n">
        <v>0.042</v>
      </c>
      <c r="J137" s="36" t="n">
        <v>0.041</v>
      </c>
      <c r="K137" s="36" t="n">
        <v>0.04</v>
      </c>
      <c r="L137" s="36" t="n">
        <v>0.039</v>
      </c>
      <c r="M137" s="36" t="n">
        <v>0.039</v>
      </c>
      <c r="N137" s="36" t="n">
        <v>0.039</v>
      </c>
      <c r="O137" s="3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6"/>
    <col collapsed="false" customWidth="true" hidden="false" outlineLevel="0" max="14" min="3" style="0" width="10"/>
    <col collapsed="false" customWidth="true" hidden="false" outlineLevel="0" max="15" min="15" style="0" width="60"/>
  </cols>
  <sheetData>
    <row r="1" customFormat="false" ht="17.35" hidden="false" customHeight="false" outlineLevel="0" collapsed="false">
      <c r="A1" s="1" t="s">
        <v>285</v>
      </c>
    </row>
    <row r="2" customFormat="false" ht="15" hidden="false" customHeight="false" outlineLevel="0" collapsed="false">
      <c r="A2" s="2" t="s">
        <v>286</v>
      </c>
    </row>
    <row r="4" customFormat="false" ht="15" hidden="false" customHeight="false" outlineLevel="0" collapsed="false">
      <c r="A4" s="5" t="s">
        <v>74</v>
      </c>
      <c r="B4" s="6" t="s">
        <v>133</v>
      </c>
      <c r="C4" s="6" t="s">
        <v>39</v>
      </c>
      <c r="D4" s="6" t="s">
        <v>40</v>
      </c>
      <c r="E4" s="6" t="s">
        <v>41</v>
      </c>
      <c r="F4" s="6" t="s">
        <v>42</v>
      </c>
      <c r="G4" s="6" t="s">
        <v>43</v>
      </c>
      <c r="H4" s="6" t="s">
        <v>44</v>
      </c>
      <c r="I4" s="6" t="s">
        <v>45</v>
      </c>
      <c r="J4" s="6" t="s">
        <v>233</v>
      </c>
      <c r="K4" s="6" t="s">
        <v>234</v>
      </c>
      <c r="L4" s="6" t="s">
        <v>235</v>
      </c>
      <c r="M4" s="6" t="s">
        <v>236</v>
      </c>
      <c r="N4" s="6" t="s">
        <v>237</v>
      </c>
      <c r="O4" s="6" t="s">
        <v>220</v>
      </c>
    </row>
    <row r="5" customFormat="false" ht="15" hidden="false" customHeight="false" outlineLevel="0" collapsed="false">
      <c r="A5" s="3" t="s">
        <v>287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customFormat="false" ht="15" hidden="false" customHeight="false" outlineLevel="0" collapsed="false">
      <c r="A6" s="7" t="s">
        <v>84</v>
      </c>
      <c r="B6" s="2" t="s">
        <v>147</v>
      </c>
      <c r="C6" s="8" t="n">
        <f aca="false">Historicals!B9</f>
        <v>11723</v>
      </c>
      <c r="D6" s="8" t="n">
        <f aca="false">Historicals!C9</f>
        <v>14236</v>
      </c>
      <c r="E6" s="19" t="n">
        <f aca="false">D6*(1+E7)</f>
        <v>17367.92</v>
      </c>
      <c r="F6" s="19" t="n">
        <f aca="false">E6*(1+F7)</f>
        <v>20494.1456</v>
      </c>
      <c r="G6" s="19" t="n">
        <f aca="false">F6*(1+G7)</f>
        <v>23773.208896</v>
      </c>
      <c r="H6" s="19" t="n">
        <f aca="false">G6*(1+H7)</f>
        <v>27101.45814144</v>
      </c>
      <c r="I6" s="19" t="n">
        <f aca="false">H6*(1+I7)</f>
        <v>30353.6331184128</v>
      </c>
      <c r="J6" s="19" t="n">
        <f aca="false">I6*(1+J7)</f>
        <v>33692.5327614382</v>
      </c>
      <c r="K6" s="19" t="n">
        <f aca="false">J6*(1+K7)</f>
        <v>37061.786037582</v>
      </c>
      <c r="L6" s="19" t="n">
        <f aca="false">K6*(1+L7)</f>
        <v>40397.3467809644</v>
      </c>
      <c r="M6" s="19" t="n">
        <f aca="false">L6*(1+M7)</f>
        <v>43629.1345234416</v>
      </c>
      <c r="N6" s="19" t="n">
        <f aca="false">M6*(1+N7)</f>
        <v>46683.1739400825</v>
      </c>
    </row>
    <row r="7" customFormat="false" ht="15" hidden="false" customHeight="false" outlineLevel="0" collapsed="false">
      <c r="A7" s="7" t="s">
        <v>48</v>
      </c>
      <c r="B7" s="2" t="s">
        <v>155</v>
      </c>
      <c r="D7" s="14" t="n">
        <f aca="false">D6/C6-1</f>
        <v>0.214364923654355</v>
      </c>
      <c r="E7" s="15" t="n">
        <f aca="false">Inputs!E70</f>
        <v>0.22</v>
      </c>
      <c r="F7" s="15" t="n">
        <f aca="false">Inputs!F70</f>
        <v>0.18</v>
      </c>
      <c r="G7" s="15" t="n">
        <f aca="false">Inputs!G70</f>
        <v>0.16</v>
      </c>
      <c r="H7" s="15" t="n">
        <f aca="false">Inputs!H70</f>
        <v>0.14</v>
      </c>
      <c r="I7" s="15" t="n">
        <f aca="false">Inputs!I70</f>
        <v>0.12</v>
      </c>
      <c r="J7" s="15" t="n">
        <f aca="false">Inputs!J70</f>
        <v>0.11</v>
      </c>
      <c r="K7" s="15" t="n">
        <f aca="false">Inputs!K70</f>
        <v>0.1</v>
      </c>
      <c r="L7" s="15" t="n">
        <f aca="false">Inputs!L70</f>
        <v>0.09</v>
      </c>
      <c r="M7" s="15" t="n">
        <f aca="false">Inputs!M70</f>
        <v>0.08</v>
      </c>
      <c r="N7" s="15" t="n">
        <f aca="false">Inputs!N70</f>
        <v>0.07</v>
      </c>
    </row>
    <row r="8" customFormat="false" ht="15" hidden="false" customHeight="false" outlineLevel="0" collapsed="false">
      <c r="A8" s="7" t="s">
        <v>288</v>
      </c>
      <c r="B8" s="2" t="s">
        <v>155</v>
      </c>
      <c r="C8" s="26" t="n">
        <f aca="false">C9/C6</f>
        <v>0.127356478717052</v>
      </c>
      <c r="D8" s="26" t="n">
        <f aca="false">D9/D6</f>
        <v>0.126440011239112</v>
      </c>
      <c r="E8" s="40" t="n">
        <f aca="false">Inputs!E73</f>
        <v>0.125</v>
      </c>
      <c r="F8" s="40" t="n">
        <f aca="false">Inputs!F73</f>
        <v>0.126</v>
      </c>
      <c r="G8" s="40" t="n">
        <f aca="false">Inputs!G73</f>
        <v>0.127</v>
      </c>
      <c r="H8" s="40" t="n">
        <f aca="false">Inputs!H73</f>
        <v>0.128</v>
      </c>
      <c r="I8" s="40" t="n">
        <f aca="false">Inputs!I73</f>
        <v>0.128</v>
      </c>
      <c r="J8" s="40" t="n">
        <f aca="false">Inputs!J73</f>
        <v>0.128</v>
      </c>
      <c r="K8" s="40" t="n">
        <f aca="false">Inputs!K73</f>
        <v>0.128</v>
      </c>
      <c r="L8" s="40" t="n">
        <f aca="false">Inputs!L73</f>
        <v>0.128</v>
      </c>
      <c r="M8" s="40" t="n">
        <f aca="false">Inputs!M73</f>
        <v>0.128</v>
      </c>
      <c r="N8" s="40" t="n">
        <f aca="false">Inputs!N73</f>
        <v>0.128</v>
      </c>
    </row>
    <row r="9" customFormat="false" ht="15" hidden="false" customHeight="false" outlineLevel="0" collapsed="false">
      <c r="A9" s="7" t="s">
        <v>85</v>
      </c>
      <c r="B9" s="2" t="s">
        <v>147</v>
      </c>
      <c r="C9" s="8" t="n">
        <f aca="false">Historicals!B10</f>
        <v>1493</v>
      </c>
      <c r="D9" s="8" t="n">
        <f aca="false">Historicals!C10</f>
        <v>1800</v>
      </c>
      <c r="E9" s="19" t="n">
        <f aca="false">E6*E8</f>
        <v>2170.99</v>
      </c>
      <c r="F9" s="19" t="n">
        <f aca="false">F6*F8</f>
        <v>2582.2623456</v>
      </c>
      <c r="G9" s="19" t="n">
        <f aca="false">G6*G8</f>
        <v>3019.197529792</v>
      </c>
      <c r="H9" s="19" t="n">
        <f aca="false">H6*H8</f>
        <v>3468.98664210432</v>
      </c>
      <c r="I9" s="19" t="n">
        <f aca="false">I6*I8</f>
        <v>3885.26503915684</v>
      </c>
      <c r="J9" s="19" t="n">
        <f aca="false">J6*J8</f>
        <v>4312.64419346409</v>
      </c>
      <c r="K9" s="19" t="n">
        <f aca="false">K6*K8</f>
        <v>4743.9086128105</v>
      </c>
      <c r="L9" s="19" t="n">
        <f aca="false">L6*L8</f>
        <v>5170.86038796345</v>
      </c>
      <c r="M9" s="19" t="n">
        <f aca="false">M6*M8</f>
        <v>5584.52921900052</v>
      </c>
      <c r="N9" s="19" t="n">
        <f aca="false">N6*N8</f>
        <v>5975.44626433056</v>
      </c>
    </row>
    <row r="10" customFormat="false" ht="15" hidden="false" customHeight="false" outlineLevel="0" collapsed="false">
      <c r="A10" s="7" t="s">
        <v>289</v>
      </c>
      <c r="B10" s="2" t="s">
        <v>155</v>
      </c>
      <c r="C10" s="26" t="n">
        <f aca="false">C11/C6</f>
        <v>0.0167192698114817</v>
      </c>
      <c r="D10" s="26" t="n">
        <f aca="false">D11/D6</f>
        <v>0.0201601573475695</v>
      </c>
      <c r="E10" s="40" t="n">
        <f aca="false">Inputs!E76</f>
        <v>0.0222</v>
      </c>
      <c r="F10" s="40" t="n">
        <f aca="false">Inputs!F76</f>
        <v>0.0255</v>
      </c>
      <c r="G10" s="40" t="n">
        <f aca="false">Inputs!G76</f>
        <v>0.028</v>
      </c>
      <c r="H10" s="40" t="n">
        <f aca="false">Inputs!H76</f>
        <v>0.03</v>
      </c>
      <c r="I10" s="40" t="n">
        <f aca="false">Inputs!I76</f>
        <v>0.0315</v>
      </c>
      <c r="J10" s="40" t="n">
        <f aca="false">Inputs!J76</f>
        <v>0.033</v>
      </c>
      <c r="K10" s="40" t="n">
        <f aca="false">Inputs!K76</f>
        <v>0.034</v>
      </c>
      <c r="L10" s="40" t="n">
        <f aca="false">Inputs!L76</f>
        <v>0.035</v>
      </c>
      <c r="M10" s="40" t="n">
        <f aca="false">Inputs!M76</f>
        <v>0.035</v>
      </c>
      <c r="N10" s="40" t="n">
        <f aca="false">Inputs!N76</f>
        <v>0.035</v>
      </c>
    </row>
    <row r="11" customFormat="false" ht="15" hidden="false" customHeight="false" outlineLevel="0" collapsed="false">
      <c r="A11" s="9" t="s">
        <v>86</v>
      </c>
      <c r="B11" s="41" t="s">
        <v>147</v>
      </c>
      <c r="C11" s="42" t="n">
        <f aca="false">Historicals!B11</f>
        <v>196</v>
      </c>
      <c r="D11" s="42" t="n">
        <f aca="false">Historicals!C11</f>
        <v>287</v>
      </c>
      <c r="E11" s="43" t="n">
        <f aca="false">E6*E10</f>
        <v>385.567824</v>
      </c>
      <c r="F11" s="43" t="n">
        <f aca="false">F6*F10</f>
        <v>522.6007128</v>
      </c>
      <c r="G11" s="43" t="n">
        <f aca="false">G6*G10</f>
        <v>665.649849088</v>
      </c>
      <c r="H11" s="43" t="n">
        <f aca="false">H6*H10</f>
        <v>813.0437442432</v>
      </c>
      <c r="I11" s="43" t="n">
        <f aca="false">I6*I10</f>
        <v>956.139443230003</v>
      </c>
      <c r="J11" s="43" t="n">
        <f aca="false">J6*J10</f>
        <v>1111.85358112746</v>
      </c>
      <c r="K11" s="43" t="n">
        <f aca="false">K6*K10</f>
        <v>1260.10072527779</v>
      </c>
      <c r="L11" s="43" t="n">
        <f aca="false">L6*L10</f>
        <v>1413.90713733375</v>
      </c>
      <c r="M11" s="43" t="n">
        <f aca="false">M6*M10</f>
        <v>1527.01970832046</v>
      </c>
      <c r="N11" s="43" t="n">
        <f aca="false">N6*N10</f>
        <v>1633.91108790289</v>
      </c>
    </row>
    <row r="12" customFormat="false" ht="15" hidden="false" customHeight="false" outlineLevel="0" collapsed="false">
      <c r="A12" s="3" t="s">
        <v>290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customFormat="false" ht="15" hidden="false" customHeight="false" outlineLevel="0" collapsed="false">
      <c r="A13" s="7" t="s">
        <v>291</v>
      </c>
      <c r="B13" s="2" t="s">
        <v>147</v>
      </c>
      <c r="D13" s="17" t="n">
        <v>1800</v>
      </c>
      <c r="E13" s="19" t="n">
        <f aca="false">D13*(1+E14)</f>
        <v>1854</v>
      </c>
      <c r="F13" s="19" t="n">
        <f aca="false">E13*(1+F14)</f>
        <v>1761.3</v>
      </c>
      <c r="G13" s="19" t="n">
        <f aca="false">F13*(1+G14)</f>
        <v>1866.978</v>
      </c>
      <c r="H13" s="19" t="n">
        <f aca="false">G13*(1+H14)</f>
        <v>1978.99668</v>
      </c>
      <c r="I13" s="19" t="n">
        <f aca="false">H13*(1+I14)</f>
        <v>2077.946514</v>
      </c>
      <c r="J13" s="19" t="n">
        <f aca="false">I13*(1+J14)</f>
        <v>2181.8438397</v>
      </c>
      <c r="K13" s="19" t="n">
        <f aca="false">J13*(1+K14)</f>
        <v>2269.117593288</v>
      </c>
      <c r="L13" s="19" t="n">
        <f aca="false">K13*(1+L14)</f>
        <v>2359.88229701952</v>
      </c>
      <c r="M13" s="19" t="n">
        <f aca="false">L13*(1+M14)</f>
        <v>2454.2775889003</v>
      </c>
      <c r="N13" s="19" t="n">
        <f aca="false">M13*(1+N14)</f>
        <v>2527.90591656731</v>
      </c>
      <c r="O13" s="2" t="s">
        <v>292</v>
      </c>
    </row>
    <row r="14" customFormat="false" ht="15" hidden="false" customHeight="false" outlineLevel="0" collapsed="false">
      <c r="A14" s="7" t="s">
        <v>48</v>
      </c>
      <c r="B14" s="2" t="s">
        <v>155</v>
      </c>
      <c r="E14" s="15" t="n">
        <f aca="false">Inputs!E79</f>
        <v>0.03</v>
      </c>
      <c r="F14" s="15" t="n">
        <f aca="false">Inputs!F79</f>
        <v>-0.05</v>
      </c>
      <c r="G14" s="15" t="n">
        <f aca="false">Inputs!G79</f>
        <v>0.06</v>
      </c>
      <c r="H14" s="15" t="n">
        <f aca="false">Inputs!H79</f>
        <v>0.06</v>
      </c>
      <c r="I14" s="15" t="n">
        <f aca="false">Inputs!I79</f>
        <v>0.05</v>
      </c>
      <c r="J14" s="15" t="n">
        <f aca="false">Inputs!J79</f>
        <v>0.05</v>
      </c>
      <c r="K14" s="15" t="n">
        <f aca="false">Inputs!K79</f>
        <v>0.04</v>
      </c>
      <c r="L14" s="15" t="n">
        <f aca="false">Inputs!L79</f>
        <v>0.04</v>
      </c>
      <c r="M14" s="15" t="n">
        <f aca="false">Inputs!M79</f>
        <v>0.04</v>
      </c>
      <c r="N14" s="15" t="n">
        <f aca="false">Inputs!N79</f>
        <v>0.03</v>
      </c>
    </row>
    <row r="15" customFormat="false" ht="15" hidden="false" customHeight="false" outlineLevel="0" collapsed="false">
      <c r="A15" s="7" t="s">
        <v>293</v>
      </c>
      <c r="B15" s="2" t="s">
        <v>160</v>
      </c>
      <c r="E15" s="44" t="n">
        <f aca="false">Inputs!E82</f>
        <v>0</v>
      </c>
      <c r="F15" s="44" t="n">
        <f aca="false">Inputs!F82</f>
        <v>1</v>
      </c>
      <c r="G15" s="44" t="n">
        <f aca="false">Inputs!G82</f>
        <v>1</v>
      </c>
      <c r="H15" s="44" t="n">
        <f aca="false">Inputs!H82</f>
        <v>1</v>
      </c>
      <c r="I15" s="44" t="n">
        <f aca="false">Inputs!I82</f>
        <v>1</v>
      </c>
      <c r="J15" s="44" t="n">
        <f aca="false">Inputs!J82</f>
        <v>1</v>
      </c>
      <c r="K15" s="44" t="n">
        <f aca="false">Inputs!K82</f>
        <v>1</v>
      </c>
      <c r="L15" s="44" t="n">
        <f aca="false">Inputs!L82</f>
        <v>1</v>
      </c>
      <c r="M15" s="44" t="n">
        <f aca="false">Inputs!M82</f>
        <v>1</v>
      </c>
      <c r="N15" s="44" t="n">
        <f aca="false">Inputs!N82</f>
        <v>1</v>
      </c>
    </row>
    <row r="16" customFormat="false" ht="15" hidden="false" customHeight="false" outlineLevel="0" collapsed="false">
      <c r="A16" s="7" t="s">
        <v>294</v>
      </c>
      <c r="B16" s="2" t="s">
        <v>147</v>
      </c>
      <c r="E16" s="19" t="n">
        <f aca="false">E13*E15</f>
        <v>0</v>
      </c>
      <c r="F16" s="19" t="n">
        <f aca="false">F13*F15</f>
        <v>1761.3</v>
      </c>
      <c r="G16" s="19" t="n">
        <f aca="false">G13*G15</f>
        <v>1866.978</v>
      </c>
      <c r="H16" s="19" t="n">
        <f aca="false">H13*H15</f>
        <v>1978.99668</v>
      </c>
      <c r="I16" s="19" t="n">
        <f aca="false">I13*I15</f>
        <v>2077.946514</v>
      </c>
      <c r="J16" s="19" t="n">
        <f aca="false">J13*J15</f>
        <v>2181.8438397</v>
      </c>
      <c r="K16" s="19" t="n">
        <f aca="false">K13*K15</f>
        <v>2269.117593288</v>
      </c>
      <c r="L16" s="19" t="n">
        <f aca="false">L13*L15</f>
        <v>2359.88229701952</v>
      </c>
      <c r="M16" s="19" t="n">
        <f aca="false">M13*M15</f>
        <v>2454.2775889003</v>
      </c>
      <c r="N16" s="19" t="n">
        <f aca="false">N13*N15</f>
        <v>2527.90591656731</v>
      </c>
    </row>
    <row r="17" customFormat="false" ht="15" hidden="false" customHeight="false" outlineLevel="0" collapsed="false">
      <c r="A17" s="7" t="s">
        <v>295</v>
      </c>
      <c r="B17" s="2" t="s">
        <v>155</v>
      </c>
      <c r="E17" s="40" t="n">
        <f aca="false">Inputs!E85</f>
        <v>0.14</v>
      </c>
      <c r="F17" s="40" t="n">
        <f aca="false">Inputs!F85</f>
        <v>0.14</v>
      </c>
      <c r="G17" s="40" t="n">
        <f aca="false">Inputs!G85</f>
        <v>0.14</v>
      </c>
      <c r="H17" s="40" t="n">
        <f aca="false">Inputs!H85</f>
        <v>0.14</v>
      </c>
      <c r="I17" s="40" t="n">
        <f aca="false">Inputs!I85</f>
        <v>0.14</v>
      </c>
      <c r="J17" s="40" t="n">
        <f aca="false">Inputs!J85</f>
        <v>0.14</v>
      </c>
      <c r="K17" s="40" t="n">
        <f aca="false">Inputs!K85</f>
        <v>0.14</v>
      </c>
      <c r="L17" s="40" t="n">
        <f aca="false">Inputs!L85</f>
        <v>0.14</v>
      </c>
      <c r="M17" s="40" t="n">
        <f aca="false">Inputs!M85</f>
        <v>0.14</v>
      </c>
      <c r="N17" s="40" t="n">
        <f aca="false">Inputs!N85</f>
        <v>0.14</v>
      </c>
    </row>
    <row r="18" customFormat="false" ht="15" hidden="false" customHeight="false" outlineLevel="0" collapsed="false">
      <c r="A18" s="7" t="s">
        <v>296</v>
      </c>
      <c r="B18" s="2" t="s">
        <v>147</v>
      </c>
      <c r="E18" s="19" t="n">
        <f aca="false">E16*E17</f>
        <v>0</v>
      </c>
      <c r="F18" s="19" t="n">
        <f aca="false">F16*F17</f>
        <v>246.582</v>
      </c>
      <c r="G18" s="19" t="n">
        <f aca="false">G16*G17</f>
        <v>261.37692</v>
      </c>
      <c r="H18" s="19" t="n">
        <f aca="false">H16*H17</f>
        <v>277.0595352</v>
      </c>
      <c r="I18" s="19" t="n">
        <f aca="false">I16*I17</f>
        <v>290.91251196</v>
      </c>
      <c r="J18" s="19" t="n">
        <f aca="false">J16*J17</f>
        <v>305.458137558</v>
      </c>
      <c r="K18" s="19" t="n">
        <f aca="false">K16*K17</f>
        <v>317.67646306032</v>
      </c>
      <c r="L18" s="19" t="n">
        <f aca="false">L16*L17</f>
        <v>330.383521582733</v>
      </c>
      <c r="M18" s="19" t="n">
        <f aca="false">M16*M17</f>
        <v>343.598862446042</v>
      </c>
      <c r="N18" s="19" t="n">
        <f aca="false">N16*N17</f>
        <v>353.906828319424</v>
      </c>
    </row>
    <row r="19" customFormat="false" ht="15" hidden="false" customHeight="false" outlineLevel="0" collapsed="false">
      <c r="A19" s="7" t="s">
        <v>297</v>
      </c>
      <c r="B19" s="2" t="s">
        <v>155</v>
      </c>
      <c r="E19" s="40" t="n">
        <f aca="false">Inputs!E88</f>
        <v>0</v>
      </c>
      <c r="F19" s="40" t="n">
        <f aca="false">Inputs!F88</f>
        <v>0.01</v>
      </c>
      <c r="G19" s="40" t="n">
        <f aca="false">Inputs!G88</f>
        <v>0.033</v>
      </c>
      <c r="H19" s="40" t="n">
        <f aca="false">Inputs!H88</f>
        <v>0.036</v>
      </c>
      <c r="I19" s="40" t="n">
        <f aca="false">Inputs!I88</f>
        <v>0.038</v>
      </c>
      <c r="J19" s="40" t="n">
        <f aca="false">Inputs!J88</f>
        <v>0.04</v>
      </c>
      <c r="K19" s="40" t="n">
        <f aca="false">Inputs!K88</f>
        <v>0.04</v>
      </c>
      <c r="L19" s="40" t="n">
        <f aca="false">Inputs!L88</f>
        <v>0.04</v>
      </c>
      <c r="M19" s="40" t="n">
        <f aca="false">Inputs!M88</f>
        <v>0.04</v>
      </c>
      <c r="N19" s="40" t="n">
        <f aca="false">Inputs!N88</f>
        <v>0.04</v>
      </c>
    </row>
    <row r="20" customFormat="false" ht="15" hidden="false" customHeight="false" outlineLevel="0" collapsed="false">
      <c r="A20" s="9" t="s">
        <v>298</v>
      </c>
      <c r="B20" s="41" t="s">
        <v>147</v>
      </c>
      <c r="C20" s="45"/>
      <c r="D20" s="45"/>
      <c r="E20" s="43" t="n">
        <f aca="false">E16*E19</f>
        <v>0</v>
      </c>
      <c r="F20" s="43" t="n">
        <f aca="false">F16*F19</f>
        <v>17.613</v>
      </c>
      <c r="G20" s="43" t="n">
        <f aca="false">G16*G19</f>
        <v>61.610274</v>
      </c>
      <c r="H20" s="43" t="n">
        <f aca="false">H16*H19</f>
        <v>71.24388048</v>
      </c>
      <c r="I20" s="43" t="n">
        <f aca="false">I16*I19</f>
        <v>78.961967532</v>
      </c>
      <c r="J20" s="43" t="n">
        <f aca="false">J16*J19</f>
        <v>87.273753588</v>
      </c>
      <c r="K20" s="43" t="n">
        <f aca="false">K16*K19</f>
        <v>90.76470373152</v>
      </c>
      <c r="L20" s="43" t="n">
        <f aca="false">L16*L19</f>
        <v>94.3952918807808</v>
      </c>
      <c r="M20" s="43" t="n">
        <f aca="false">M16*M19</f>
        <v>98.1711035560121</v>
      </c>
      <c r="N20" s="43" t="n">
        <f aca="false">N16*N19</f>
        <v>101.116236662692</v>
      </c>
    </row>
    <row r="21" customFormat="false" ht="15" hidden="false" customHeight="false" outlineLevel="0" collapsed="false">
      <c r="A21" s="3" t="s">
        <v>299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customFormat="false" ht="15" hidden="false" customHeight="false" outlineLevel="0" collapsed="false">
      <c r="A22" s="7" t="s">
        <v>87</v>
      </c>
      <c r="B22" s="2" t="s">
        <v>147</v>
      </c>
      <c r="C22" s="8" t="n">
        <f aca="false">Historicals!B12</f>
        <v>6640</v>
      </c>
      <c r="D22" s="8" t="n">
        <f aca="false">Historicals!C12</f>
        <v>7901</v>
      </c>
      <c r="E22" s="19" t="n">
        <f aca="false">D22*(1+E23)</f>
        <v>9402.19</v>
      </c>
      <c r="F22" s="19" t="n">
        <f aca="false">E22*(1+F23)</f>
        <v>10718.4966</v>
      </c>
      <c r="G22" s="19" t="n">
        <f aca="false">F22*(1+G23)</f>
        <v>12111.901158</v>
      </c>
      <c r="H22" s="19" t="n">
        <f aca="false">G22*(1+H23)</f>
        <v>13565.32929696</v>
      </c>
      <c r="I22" s="19" t="n">
        <f aca="false">H22*(1+I23)</f>
        <v>15057.5155196256</v>
      </c>
      <c r="J22" s="19" t="n">
        <f aca="false">I22*(1+J23)</f>
        <v>16563.2670715882</v>
      </c>
      <c r="K22" s="19" t="n">
        <f aca="false">J22*(1+K23)</f>
        <v>18053.9611080311</v>
      </c>
      <c r="L22" s="19" t="n">
        <f aca="false">K22*(1+L23)</f>
        <v>19498.2779966736</v>
      </c>
      <c r="M22" s="19" t="n">
        <f aca="false">L22*(1+M23)</f>
        <v>20863.1574564407</v>
      </c>
      <c r="N22" s="19" t="n">
        <f aca="false">M22*(1+N23)</f>
        <v>22114.9469038272</v>
      </c>
    </row>
    <row r="23" customFormat="false" ht="15" hidden="false" customHeight="false" outlineLevel="0" collapsed="false">
      <c r="A23" s="7" t="s">
        <v>48</v>
      </c>
      <c r="B23" s="2" t="s">
        <v>155</v>
      </c>
      <c r="D23" s="14" t="n">
        <f aca="false">D22/C22-1</f>
        <v>0.189909638554217</v>
      </c>
      <c r="E23" s="15" t="n">
        <f aca="false">Inputs!E91</f>
        <v>0.19</v>
      </c>
      <c r="F23" s="15" t="n">
        <f aca="false">Inputs!F91</f>
        <v>0.14</v>
      </c>
      <c r="G23" s="15" t="n">
        <f aca="false">Inputs!G91</f>
        <v>0.13</v>
      </c>
      <c r="H23" s="15" t="n">
        <f aca="false">Inputs!H91</f>
        <v>0.12</v>
      </c>
      <c r="I23" s="15" t="n">
        <f aca="false">Inputs!I91</f>
        <v>0.11</v>
      </c>
      <c r="J23" s="15" t="n">
        <f aca="false">Inputs!J91</f>
        <v>0.1</v>
      </c>
      <c r="K23" s="15" t="n">
        <f aca="false">Inputs!K91</f>
        <v>0.09</v>
      </c>
      <c r="L23" s="15" t="n">
        <f aca="false">Inputs!L91</f>
        <v>0.08</v>
      </c>
      <c r="M23" s="15" t="n">
        <f aca="false">Inputs!M91</f>
        <v>0.07</v>
      </c>
      <c r="N23" s="15" t="n">
        <f aca="false">Inputs!N91</f>
        <v>0.06</v>
      </c>
    </row>
    <row r="24" customFormat="false" ht="15" hidden="false" customHeight="false" outlineLevel="0" collapsed="false">
      <c r="A24" s="7" t="s">
        <v>288</v>
      </c>
      <c r="B24" s="2" t="s">
        <v>155</v>
      </c>
      <c r="C24" s="26" t="n">
        <f aca="false">C25/C22</f>
        <v>0.157680722891566</v>
      </c>
      <c r="D24" s="26" t="n">
        <f aca="false">D25/D22</f>
        <v>0.154284267814201</v>
      </c>
      <c r="E24" s="40" t="n">
        <f aca="false">Inputs!E94</f>
        <v>0.147</v>
      </c>
      <c r="F24" s="40" t="n">
        <f aca="false">Inputs!F94</f>
        <v>0.143</v>
      </c>
      <c r="G24" s="40" t="n">
        <f aca="false">Inputs!G94</f>
        <v>0.142</v>
      </c>
      <c r="H24" s="40" t="n">
        <f aca="false">Inputs!H94</f>
        <v>0.142</v>
      </c>
      <c r="I24" s="40" t="n">
        <f aca="false">Inputs!I94</f>
        <v>0.142</v>
      </c>
      <c r="J24" s="40" t="n">
        <f aca="false">Inputs!J94</f>
        <v>0.142</v>
      </c>
      <c r="K24" s="40" t="n">
        <f aca="false">Inputs!K94</f>
        <v>0.142</v>
      </c>
      <c r="L24" s="40" t="n">
        <f aca="false">Inputs!L94</f>
        <v>0.142</v>
      </c>
      <c r="M24" s="40" t="n">
        <f aca="false">Inputs!M94</f>
        <v>0.142</v>
      </c>
      <c r="N24" s="40" t="n">
        <f aca="false">Inputs!N94</f>
        <v>0.142</v>
      </c>
    </row>
    <row r="25" customFormat="false" ht="15" hidden="false" customHeight="false" outlineLevel="0" collapsed="false">
      <c r="A25" s="7" t="s">
        <v>88</v>
      </c>
      <c r="B25" s="2" t="s">
        <v>147</v>
      </c>
      <c r="C25" s="8" t="n">
        <f aca="false">Historicals!B13</f>
        <v>1047</v>
      </c>
      <c r="D25" s="8" t="n">
        <f aca="false">Historicals!C13</f>
        <v>1219</v>
      </c>
      <c r="E25" s="19" t="n">
        <f aca="false">E22*E24</f>
        <v>1382.12193</v>
      </c>
      <c r="F25" s="19" t="n">
        <f aca="false">F22*F24</f>
        <v>1532.7450138</v>
      </c>
      <c r="G25" s="19" t="n">
        <f aca="false">G22*G24</f>
        <v>1719.889964436</v>
      </c>
      <c r="H25" s="19" t="n">
        <f aca="false">H22*H24</f>
        <v>1926.27676016832</v>
      </c>
      <c r="I25" s="19" t="n">
        <f aca="false">I22*I24</f>
        <v>2138.16720378684</v>
      </c>
      <c r="J25" s="19" t="n">
        <f aca="false">J22*J24</f>
        <v>2351.98392416552</v>
      </c>
      <c r="K25" s="19" t="n">
        <f aca="false">K22*K24</f>
        <v>2563.66247734042</v>
      </c>
      <c r="L25" s="19" t="n">
        <f aca="false">L22*L24</f>
        <v>2768.75547552765</v>
      </c>
      <c r="M25" s="19" t="n">
        <f aca="false">M22*M24</f>
        <v>2962.56835881459</v>
      </c>
      <c r="N25" s="19" t="n">
        <f aca="false">N22*N24</f>
        <v>3140.32246034346</v>
      </c>
    </row>
    <row r="26" customFormat="false" ht="15" hidden="false" customHeight="false" outlineLevel="0" collapsed="false">
      <c r="A26" s="7" t="s">
        <v>300</v>
      </c>
      <c r="B26" s="2" t="s">
        <v>155</v>
      </c>
      <c r="C26" s="26" t="n">
        <f aca="false">C27/C22</f>
        <v>0.0856927710843373</v>
      </c>
      <c r="D26" s="26" t="n">
        <f aca="false">D27/D22</f>
        <v>0.0873307176306797</v>
      </c>
      <c r="E26" s="40" t="n">
        <f aca="false">Inputs!E97</f>
        <v>0.087</v>
      </c>
      <c r="F26" s="40" t="n">
        <f aca="false">Inputs!F97</f>
        <v>0.088</v>
      </c>
      <c r="G26" s="40" t="n">
        <f aca="false">Inputs!G97</f>
        <v>0.089</v>
      </c>
      <c r="H26" s="40" t="n">
        <f aca="false">Inputs!H97</f>
        <v>0.09</v>
      </c>
      <c r="I26" s="40" t="n">
        <f aca="false">Inputs!I97</f>
        <v>0.0905</v>
      </c>
      <c r="J26" s="40" t="n">
        <f aca="false">Inputs!J97</f>
        <v>0.091</v>
      </c>
      <c r="K26" s="40" t="n">
        <f aca="false">Inputs!K97</f>
        <v>0.091</v>
      </c>
      <c r="L26" s="40" t="n">
        <f aca="false">Inputs!L97</f>
        <v>0.091</v>
      </c>
      <c r="M26" s="40" t="n">
        <f aca="false">Inputs!M97</f>
        <v>0.091</v>
      </c>
      <c r="N26" s="40" t="n">
        <f aca="false">Inputs!N97</f>
        <v>0.091</v>
      </c>
    </row>
    <row r="27" customFormat="false" ht="15" hidden="false" customHeight="false" outlineLevel="0" collapsed="false">
      <c r="A27" s="7" t="s">
        <v>301</v>
      </c>
      <c r="B27" s="2" t="s">
        <v>147</v>
      </c>
      <c r="C27" s="8" t="n">
        <f aca="false">Historicals!B14</f>
        <v>569</v>
      </c>
      <c r="D27" s="8" t="n">
        <f aca="false">Historicals!C14</f>
        <v>690</v>
      </c>
      <c r="E27" s="19" t="n">
        <f aca="false">E22*E26</f>
        <v>817.99053</v>
      </c>
      <c r="F27" s="19" t="n">
        <f aca="false">F22*F26</f>
        <v>943.2277008</v>
      </c>
      <c r="G27" s="19" t="n">
        <f aca="false">G22*G26</f>
        <v>1077.959203062</v>
      </c>
      <c r="H27" s="19" t="n">
        <f aca="false">H22*H26</f>
        <v>1220.8796367264</v>
      </c>
      <c r="I27" s="19" t="n">
        <f aca="false">I22*I26</f>
        <v>1362.70515452612</v>
      </c>
      <c r="J27" s="19" t="n">
        <f aca="false">J22*J26</f>
        <v>1507.25730351452</v>
      </c>
      <c r="K27" s="19" t="n">
        <f aca="false">K22*K26</f>
        <v>1642.91046083083</v>
      </c>
      <c r="L27" s="19" t="n">
        <f aca="false">L22*L26</f>
        <v>1774.3432976973</v>
      </c>
      <c r="M27" s="19" t="n">
        <f aca="false">M22*M26</f>
        <v>1898.54732853611</v>
      </c>
      <c r="N27" s="19" t="n">
        <f aca="false">N22*N26</f>
        <v>2012.46016824827</v>
      </c>
    </row>
    <row r="28" customFormat="false" ht="15" hidden="false" customHeight="false" outlineLevel="0" collapsed="false">
      <c r="A28" s="7" t="s">
        <v>302</v>
      </c>
      <c r="B28" s="2" t="s">
        <v>147</v>
      </c>
      <c r="E28" s="8" t="n">
        <f aca="false">Inputs!E100</f>
        <v>-15</v>
      </c>
      <c r="F28" s="8" t="n">
        <f aca="false">Inputs!F100</f>
        <v>-40</v>
      </c>
      <c r="G28" s="8" t="n">
        <f aca="false">Inputs!G100</f>
        <v>-44</v>
      </c>
      <c r="H28" s="8" t="n">
        <f aca="false">Inputs!H100</f>
        <v>-48</v>
      </c>
      <c r="I28" s="8" t="n">
        <f aca="false">Inputs!I100</f>
        <v>-52</v>
      </c>
      <c r="J28" s="8" t="n">
        <f aca="false">Inputs!J100</f>
        <v>-56</v>
      </c>
      <c r="K28" s="8" t="n">
        <f aca="false">Inputs!K100</f>
        <v>-60</v>
      </c>
      <c r="L28" s="8" t="n">
        <f aca="false">Inputs!L100</f>
        <v>-63</v>
      </c>
      <c r="M28" s="8" t="n">
        <f aca="false">Inputs!M100</f>
        <v>-66</v>
      </c>
      <c r="N28" s="8" t="n">
        <f aca="false">Inputs!N100</f>
        <v>-69</v>
      </c>
    </row>
    <row r="29" customFormat="false" ht="15" hidden="false" customHeight="false" outlineLevel="0" collapsed="false">
      <c r="A29" s="9" t="s">
        <v>89</v>
      </c>
      <c r="B29" s="41" t="s">
        <v>147</v>
      </c>
      <c r="C29" s="43" t="n">
        <f aca="false">C27</f>
        <v>569</v>
      </c>
      <c r="D29" s="43" t="n">
        <f aca="false">D27</f>
        <v>690</v>
      </c>
      <c r="E29" s="43" t="n">
        <f aca="false">E27+E28</f>
        <v>802.99053</v>
      </c>
      <c r="F29" s="43" t="n">
        <f aca="false">F27+F28</f>
        <v>903.2277008</v>
      </c>
      <c r="G29" s="43" t="n">
        <f aca="false">G27+G28</f>
        <v>1033.959203062</v>
      </c>
      <c r="H29" s="43" t="n">
        <f aca="false">H27+H28</f>
        <v>1172.8796367264</v>
      </c>
      <c r="I29" s="43" t="n">
        <f aca="false">I27+I28</f>
        <v>1310.70515452612</v>
      </c>
      <c r="J29" s="43" t="n">
        <f aca="false">J27+J28</f>
        <v>1451.25730351452</v>
      </c>
      <c r="K29" s="43" t="n">
        <f aca="false">K27+K28</f>
        <v>1582.91046083083</v>
      </c>
      <c r="L29" s="43" t="n">
        <f aca="false">L27+L28</f>
        <v>1711.3432976973</v>
      </c>
      <c r="M29" s="43" t="n">
        <f aca="false">M27+M28</f>
        <v>1832.54732853611</v>
      </c>
      <c r="N29" s="43" t="n">
        <f aca="false">N27+N28</f>
        <v>1943.46016824827</v>
      </c>
    </row>
    <row r="30" customFormat="false" ht="15" hidden="false" customHeight="false" outlineLevel="0" collapsed="false">
      <c r="A30" s="3" t="s">
        <v>303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customFormat="false" ht="15" hidden="false" customHeight="false" outlineLevel="0" collapsed="false">
      <c r="A31" s="7" t="s">
        <v>304</v>
      </c>
      <c r="B31" s="2" t="s">
        <v>147</v>
      </c>
      <c r="C31" s="8" t="n">
        <f aca="false">Historicals!B15</f>
        <v>253</v>
      </c>
      <c r="D31" s="8" t="n">
        <f aca="false">Historicals!C15</f>
        <v>347</v>
      </c>
      <c r="E31" s="19" t="n">
        <f aca="false">D31*(1+E32)</f>
        <v>600.31</v>
      </c>
      <c r="F31" s="19" t="n">
        <f aca="false">E31*(1+F32)</f>
        <v>840.434</v>
      </c>
      <c r="G31" s="19" t="n">
        <f aca="false">F31*(1+G32)</f>
        <v>1092.5642</v>
      </c>
      <c r="H31" s="19" t="n">
        <f aca="false">G31*(1+H32)</f>
        <v>1354.779608</v>
      </c>
      <c r="I31" s="19" t="n">
        <f aca="false">H31*(1+I32)</f>
        <v>1625.7355296</v>
      </c>
      <c r="J31" s="19" t="n">
        <f aca="false">I31*(1+J32)</f>
        <v>1918.367924928</v>
      </c>
      <c r="K31" s="19" t="n">
        <f aca="false">J31*(1+K32)</f>
        <v>2206.1231136672</v>
      </c>
      <c r="L31" s="19" t="n">
        <f aca="false">K31*(1+L32)</f>
        <v>2492.91911844394</v>
      </c>
      <c r="M31" s="19" t="n">
        <f aca="false">L31*(1+M32)</f>
        <v>2767.14022147277</v>
      </c>
      <c r="N31" s="19" t="n">
        <f aca="false">M31*(1+N32)</f>
        <v>3043.85424362005</v>
      </c>
    </row>
    <row r="32" customFormat="false" ht="15" hidden="false" customHeight="false" outlineLevel="0" collapsed="false">
      <c r="A32" s="7" t="s">
        <v>48</v>
      </c>
      <c r="B32" s="2" t="s">
        <v>155</v>
      </c>
      <c r="D32" s="14" t="n">
        <f aca="false">D31/C31-1</f>
        <v>0.371541501976285</v>
      </c>
      <c r="E32" s="15" t="n">
        <f aca="false">Inputs!E103</f>
        <v>0.73</v>
      </c>
      <c r="F32" s="15" t="n">
        <f aca="false">Inputs!F103</f>
        <v>0.4</v>
      </c>
      <c r="G32" s="15" t="n">
        <f aca="false">Inputs!G103</f>
        <v>0.3</v>
      </c>
      <c r="H32" s="15" t="n">
        <f aca="false">Inputs!H103</f>
        <v>0.24</v>
      </c>
      <c r="I32" s="15" t="n">
        <f aca="false">Inputs!I103</f>
        <v>0.2</v>
      </c>
      <c r="J32" s="15" t="n">
        <f aca="false">Inputs!J103</f>
        <v>0.18</v>
      </c>
      <c r="K32" s="15" t="n">
        <f aca="false">Inputs!K103</f>
        <v>0.15</v>
      </c>
      <c r="L32" s="15" t="n">
        <f aca="false">Inputs!L103</f>
        <v>0.13</v>
      </c>
      <c r="M32" s="15" t="n">
        <f aca="false">Inputs!M103</f>
        <v>0.11</v>
      </c>
      <c r="N32" s="15" t="n">
        <f aca="false">Inputs!N103</f>
        <v>0.1</v>
      </c>
    </row>
    <row r="33" customFormat="false" ht="15" hidden="false" customHeight="false" outlineLevel="0" collapsed="false">
      <c r="A33" s="7" t="s">
        <v>305</v>
      </c>
      <c r="B33" s="2" t="s">
        <v>155</v>
      </c>
      <c r="C33" s="14" t="n">
        <f aca="false">C34/C31</f>
        <v>-0.41501976284585</v>
      </c>
      <c r="D33" s="14" t="n">
        <f aca="false">D34/D31</f>
        <v>-0.31700288184438</v>
      </c>
      <c r="E33" s="15" t="n">
        <f aca="false">Inputs!E106</f>
        <v>-0.045</v>
      </c>
      <c r="F33" s="15" t="n">
        <f aca="false">Inputs!F106</f>
        <v>0.09</v>
      </c>
      <c r="G33" s="15" t="n">
        <f aca="false">Inputs!G106</f>
        <v>0.16</v>
      </c>
      <c r="H33" s="15" t="n">
        <f aca="false">Inputs!H106</f>
        <v>0.2</v>
      </c>
      <c r="I33" s="15" t="n">
        <f aca="false">Inputs!I106</f>
        <v>0.23</v>
      </c>
      <c r="J33" s="15" t="n">
        <f aca="false">Inputs!J106</f>
        <v>0.25</v>
      </c>
      <c r="K33" s="15" t="n">
        <f aca="false">Inputs!K106</f>
        <v>0.26</v>
      </c>
      <c r="L33" s="15" t="n">
        <f aca="false">Inputs!L106</f>
        <v>0.27</v>
      </c>
      <c r="M33" s="15" t="n">
        <f aca="false">Inputs!M106</f>
        <v>0.27</v>
      </c>
      <c r="N33" s="15" t="n">
        <f aca="false">Inputs!N106</f>
        <v>0.27</v>
      </c>
    </row>
    <row r="34" customFormat="false" ht="15" hidden="false" customHeight="false" outlineLevel="0" collapsed="false">
      <c r="A34" s="7" t="s">
        <v>306</v>
      </c>
      <c r="B34" s="2" t="s">
        <v>147</v>
      </c>
      <c r="C34" s="8" t="n">
        <f aca="false">Historicals!B16</f>
        <v>-105</v>
      </c>
      <c r="D34" s="8" t="n">
        <f aca="false">Historicals!C16</f>
        <v>-110</v>
      </c>
      <c r="E34" s="19" t="n">
        <f aca="false">E31*E33</f>
        <v>-27.01395</v>
      </c>
      <c r="F34" s="19" t="n">
        <f aca="false">F31*F33</f>
        <v>75.63906</v>
      </c>
      <c r="G34" s="19" t="n">
        <f aca="false">G31*G33</f>
        <v>174.810272</v>
      </c>
      <c r="H34" s="19" t="n">
        <f aca="false">H31*H33</f>
        <v>270.9559216</v>
      </c>
      <c r="I34" s="19" t="n">
        <f aca="false">I31*I33</f>
        <v>373.919171808</v>
      </c>
      <c r="J34" s="19" t="n">
        <f aca="false">J31*J33</f>
        <v>479.591981232</v>
      </c>
      <c r="K34" s="19" t="n">
        <f aca="false">K31*K33</f>
        <v>573.592009553472</v>
      </c>
      <c r="L34" s="19" t="n">
        <f aca="false">L31*L33</f>
        <v>673.088161979863</v>
      </c>
      <c r="M34" s="19" t="n">
        <f aca="false">M31*M33</f>
        <v>747.127859797648</v>
      </c>
      <c r="N34" s="19" t="n">
        <f aca="false">N31*N33</f>
        <v>821.840645777412</v>
      </c>
    </row>
    <row r="35" customFormat="false" ht="15" hidden="false" customHeight="false" outlineLevel="0" collapsed="false">
      <c r="A35" s="7" t="s">
        <v>307</v>
      </c>
      <c r="B35" s="2" t="s">
        <v>147</v>
      </c>
      <c r="E35" s="8" t="n">
        <f aca="false">Inputs!E112</f>
        <v>500</v>
      </c>
      <c r="F35" s="8" t="n">
        <f aca="false">Inputs!F112</f>
        <v>560</v>
      </c>
      <c r="G35" s="8" t="n">
        <f aca="false">Inputs!G112</f>
        <v>700</v>
      </c>
      <c r="H35" s="8" t="n">
        <f aca="false">Inputs!H112</f>
        <v>850</v>
      </c>
      <c r="I35" s="8" t="n">
        <f aca="false">Inputs!I112</f>
        <v>980</v>
      </c>
      <c r="J35" s="8" t="n">
        <f aca="false">Inputs!J112</f>
        <v>1100</v>
      </c>
      <c r="K35" s="8" t="n">
        <f aca="false">Inputs!K112</f>
        <v>1210</v>
      </c>
      <c r="L35" s="8" t="n">
        <f aca="false">Inputs!L112</f>
        <v>1320</v>
      </c>
      <c r="M35" s="8" t="n">
        <f aca="false">Inputs!M112</f>
        <v>1420</v>
      </c>
      <c r="N35" s="8" t="n">
        <f aca="false">Inputs!N112</f>
        <v>1520</v>
      </c>
    </row>
    <row r="36" customFormat="false" ht="15" hidden="false" customHeight="false" outlineLevel="0" collapsed="false">
      <c r="A36" s="7" t="s">
        <v>293</v>
      </c>
      <c r="B36" s="2" t="s">
        <v>160</v>
      </c>
      <c r="E36" s="44" t="n">
        <f aca="false">Inputs!E115</f>
        <v>0</v>
      </c>
      <c r="F36" s="44" t="n">
        <f aca="false">Inputs!F115</f>
        <v>0.25</v>
      </c>
      <c r="G36" s="44" t="n">
        <f aca="false">Inputs!G115</f>
        <v>1</v>
      </c>
      <c r="H36" s="44" t="n">
        <f aca="false">Inputs!H115</f>
        <v>1</v>
      </c>
      <c r="I36" s="44" t="n">
        <f aca="false">Inputs!I115</f>
        <v>1</v>
      </c>
      <c r="J36" s="44" t="n">
        <f aca="false">Inputs!J115</f>
        <v>1</v>
      </c>
      <c r="K36" s="44" t="n">
        <f aca="false">Inputs!K115</f>
        <v>1</v>
      </c>
      <c r="L36" s="44" t="n">
        <f aca="false">Inputs!L115</f>
        <v>1</v>
      </c>
      <c r="M36" s="44" t="n">
        <f aca="false">Inputs!M115</f>
        <v>1</v>
      </c>
      <c r="N36" s="44" t="n">
        <f aca="false">Inputs!N115</f>
        <v>1</v>
      </c>
    </row>
    <row r="37" customFormat="false" ht="15" hidden="false" customHeight="false" outlineLevel="0" collapsed="false">
      <c r="A37" s="7" t="s">
        <v>308</v>
      </c>
      <c r="B37" s="2" t="s">
        <v>147</v>
      </c>
      <c r="E37" s="19" t="n">
        <f aca="false">E35*E36</f>
        <v>0</v>
      </c>
      <c r="F37" s="19" t="n">
        <f aca="false">F35*F36</f>
        <v>140</v>
      </c>
      <c r="G37" s="19" t="n">
        <f aca="false">G35*G36</f>
        <v>700</v>
      </c>
      <c r="H37" s="19" t="n">
        <f aca="false">H35*H36</f>
        <v>850</v>
      </c>
      <c r="I37" s="19" t="n">
        <f aca="false">I35*I36</f>
        <v>980</v>
      </c>
      <c r="J37" s="19" t="n">
        <f aca="false">J35*J36</f>
        <v>1100</v>
      </c>
      <c r="K37" s="19" t="n">
        <f aca="false">K35*K36</f>
        <v>1210</v>
      </c>
      <c r="L37" s="19" t="n">
        <f aca="false">L35*L36</f>
        <v>1320</v>
      </c>
      <c r="M37" s="19" t="n">
        <f aca="false">M35*M36</f>
        <v>1420</v>
      </c>
      <c r="N37" s="19" t="n">
        <f aca="false">N35*N36</f>
        <v>1520</v>
      </c>
    </row>
    <row r="38" customFormat="false" ht="15" hidden="false" customHeight="false" outlineLevel="0" collapsed="false">
      <c r="A38" s="7" t="s">
        <v>309</v>
      </c>
      <c r="B38" s="2" t="s">
        <v>155</v>
      </c>
      <c r="E38" s="15" t="n">
        <f aca="false">Inputs!E118</f>
        <v>0.17</v>
      </c>
      <c r="F38" s="15" t="n">
        <f aca="false">Inputs!F118</f>
        <v>0.18</v>
      </c>
      <c r="G38" s="15" t="n">
        <f aca="false">Inputs!G118</f>
        <v>0.25</v>
      </c>
      <c r="H38" s="15" t="n">
        <f aca="false">Inputs!H118</f>
        <v>0.27</v>
      </c>
      <c r="I38" s="15" t="n">
        <f aca="false">Inputs!I118</f>
        <v>0.28</v>
      </c>
      <c r="J38" s="15" t="n">
        <f aca="false">Inputs!J118</f>
        <v>0.28</v>
      </c>
      <c r="K38" s="15" t="n">
        <f aca="false">Inputs!K118</f>
        <v>0.28</v>
      </c>
      <c r="L38" s="15" t="n">
        <f aca="false">Inputs!L118</f>
        <v>0.28</v>
      </c>
      <c r="M38" s="15" t="n">
        <f aca="false">Inputs!M118</f>
        <v>0.28</v>
      </c>
      <c r="N38" s="15" t="n">
        <f aca="false">Inputs!N118</f>
        <v>0.28</v>
      </c>
    </row>
    <row r="39" customFormat="false" ht="15" hidden="false" customHeight="false" outlineLevel="0" collapsed="false">
      <c r="A39" s="7" t="s">
        <v>310</v>
      </c>
      <c r="B39" s="2" t="s">
        <v>147</v>
      </c>
      <c r="E39" s="19" t="n">
        <f aca="false">E37*E38</f>
        <v>0</v>
      </c>
      <c r="F39" s="19" t="n">
        <f aca="false">F37*F38</f>
        <v>25.2</v>
      </c>
      <c r="G39" s="19" t="n">
        <f aca="false">G37*G38</f>
        <v>175</v>
      </c>
      <c r="H39" s="19" t="n">
        <f aca="false">H37*H38</f>
        <v>229.5</v>
      </c>
      <c r="I39" s="19" t="n">
        <f aca="false">I37*I38</f>
        <v>274.4</v>
      </c>
      <c r="J39" s="19" t="n">
        <f aca="false">J37*J38</f>
        <v>308</v>
      </c>
      <c r="K39" s="19" t="n">
        <f aca="false">K37*K38</f>
        <v>338.8</v>
      </c>
      <c r="L39" s="19" t="n">
        <f aca="false">L37*L38</f>
        <v>369.6</v>
      </c>
      <c r="M39" s="19" t="n">
        <f aca="false">M37*M38</f>
        <v>397.6</v>
      </c>
      <c r="N39" s="19" t="n">
        <f aca="false">N37*N38</f>
        <v>425.6</v>
      </c>
    </row>
    <row r="40" customFormat="false" ht="15" hidden="false" customHeight="false" outlineLevel="0" collapsed="false">
      <c r="A40" s="7" t="s">
        <v>311</v>
      </c>
      <c r="B40" s="2" t="s">
        <v>147</v>
      </c>
      <c r="C40" s="19" t="n">
        <f aca="false">C31</f>
        <v>253</v>
      </c>
      <c r="D40" s="19" t="n">
        <f aca="false">D31</f>
        <v>347</v>
      </c>
      <c r="E40" s="19" t="n">
        <f aca="false">E31+E37</f>
        <v>600.31</v>
      </c>
      <c r="F40" s="19" t="n">
        <f aca="false">F31+F37</f>
        <v>980.434</v>
      </c>
      <c r="G40" s="19" t="n">
        <f aca="false">G31+G37</f>
        <v>1792.5642</v>
      </c>
      <c r="H40" s="19" t="n">
        <f aca="false">H31+H37</f>
        <v>2204.779608</v>
      </c>
      <c r="I40" s="19" t="n">
        <f aca="false">I31+I37</f>
        <v>2605.7355296</v>
      </c>
      <c r="J40" s="19" t="n">
        <f aca="false">J31+J37</f>
        <v>3018.367924928</v>
      </c>
      <c r="K40" s="19" t="n">
        <f aca="false">K31+K37</f>
        <v>3416.1231136672</v>
      </c>
      <c r="L40" s="19" t="n">
        <f aca="false">L31+L37</f>
        <v>3812.91911844394</v>
      </c>
      <c r="M40" s="19" t="n">
        <f aca="false">M31+M37</f>
        <v>4187.14022147277</v>
      </c>
      <c r="N40" s="19" t="n">
        <f aca="false">N31+N37</f>
        <v>4563.85424362005</v>
      </c>
    </row>
    <row r="41" customFormat="false" ht="15" hidden="false" customHeight="false" outlineLevel="0" collapsed="false">
      <c r="A41" s="9" t="s">
        <v>312</v>
      </c>
      <c r="B41" s="41" t="s">
        <v>147</v>
      </c>
      <c r="C41" s="43" t="n">
        <f aca="false">C34</f>
        <v>-105</v>
      </c>
      <c r="D41" s="43" t="n">
        <f aca="false">D34</f>
        <v>-110</v>
      </c>
      <c r="E41" s="43" t="n">
        <f aca="false">E34+E39</f>
        <v>-27.01395</v>
      </c>
      <c r="F41" s="43" t="n">
        <f aca="false">F34+F39</f>
        <v>100.83906</v>
      </c>
      <c r="G41" s="43" t="n">
        <f aca="false">G34+G39</f>
        <v>349.810272</v>
      </c>
      <c r="H41" s="43" t="n">
        <f aca="false">H34+H39</f>
        <v>500.4559216</v>
      </c>
      <c r="I41" s="43" t="n">
        <f aca="false">I34+I39</f>
        <v>648.319171808</v>
      </c>
      <c r="J41" s="43" t="n">
        <f aca="false">J34+J39</f>
        <v>787.591981232</v>
      </c>
      <c r="K41" s="43" t="n">
        <f aca="false">K34+K39</f>
        <v>912.392009553472</v>
      </c>
      <c r="L41" s="43" t="n">
        <f aca="false">L34+L39</f>
        <v>1042.68816197986</v>
      </c>
      <c r="M41" s="43" t="n">
        <f aca="false">M34+M39</f>
        <v>1144.72785979765</v>
      </c>
      <c r="N41" s="43" t="n">
        <f aca="false">N34+N39</f>
        <v>1247.44064577741</v>
      </c>
    </row>
    <row r="42" customFormat="false" ht="15" hidden="false" customHeight="false" outlineLevel="0" collapsed="false">
      <c r="A42" s="3" t="s">
        <v>313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customFormat="false" ht="15" hidden="false" customHeight="false" outlineLevel="0" collapsed="false">
      <c r="A43" s="7" t="s">
        <v>92</v>
      </c>
      <c r="B43" s="2" t="s">
        <v>147</v>
      </c>
      <c r="C43" s="8" t="n">
        <f aca="false">Historicals!B17</f>
        <v>4</v>
      </c>
      <c r="D43" s="8" t="n">
        <f aca="false">Historicals!C17</f>
        <v>4</v>
      </c>
      <c r="E43" s="19" t="n">
        <f aca="false">D43*(1+Inputs!$B$34)</f>
        <v>4.4</v>
      </c>
      <c r="F43" s="19" t="n">
        <f aca="false">E43*(1+Inputs!$B$34)</f>
        <v>4.84</v>
      </c>
      <c r="G43" s="19" t="n">
        <f aca="false">F43*(1+Inputs!$B$34)</f>
        <v>5.324</v>
      </c>
      <c r="H43" s="19" t="n">
        <f aca="false">G43*(1+Inputs!$B$34)</f>
        <v>5.8564</v>
      </c>
      <c r="I43" s="19" t="n">
        <f aca="false">H43*(1+Inputs!$B$34)</f>
        <v>6.44204</v>
      </c>
      <c r="J43" s="19" t="n">
        <f aca="false">I43*(1+Inputs!$B$34)</f>
        <v>7.086244</v>
      </c>
      <c r="K43" s="19" t="n">
        <f aca="false">J43*(1+Inputs!$B$34)</f>
        <v>7.79486840000001</v>
      </c>
      <c r="L43" s="19" t="n">
        <f aca="false">K43*(1+Inputs!$B$34)</f>
        <v>8.57435524000001</v>
      </c>
      <c r="M43" s="19" t="n">
        <f aca="false">L43*(1+Inputs!$B$34)</f>
        <v>9.43179076400001</v>
      </c>
      <c r="N43" s="19" t="n">
        <f aca="false">M43*(1+Inputs!$B$34)</f>
        <v>10.3749698404</v>
      </c>
    </row>
    <row r="44" customFormat="false" ht="15" hidden="false" customHeight="false" outlineLevel="0" collapsed="false">
      <c r="A44" s="7" t="s">
        <v>93</v>
      </c>
      <c r="B44" s="2" t="s">
        <v>147</v>
      </c>
      <c r="C44" s="8" t="n">
        <f aca="false">Historicals!B18</f>
        <v>3</v>
      </c>
      <c r="D44" s="8" t="n">
        <f aca="false">Historicals!C18</f>
        <v>1</v>
      </c>
      <c r="E44" s="19" t="n">
        <f aca="false">0</f>
        <v>0</v>
      </c>
      <c r="F44" s="19" t="n">
        <f aca="false">0</f>
        <v>0</v>
      </c>
      <c r="G44" s="19" t="n">
        <f aca="false">0</f>
        <v>0</v>
      </c>
      <c r="H44" s="19" t="n">
        <f aca="false">0</f>
        <v>0</v>
      </c>
      <c r="I44" s="19" t="n">
        <f aca="false">0</f>
        <v>0</v>
      </c>
      <c r="J44" s="19" t="n">
        <f aca="false">0</f>
        <v>0</v>
      </c>
      <c r="K44" s="19" t="n">
        <f aca="false">0</f>
        <v>0</v>
      </c>
      <c r="L44" s="19" t="n">
        <f aca="false">0</f>
        <v>0</v>
      </c>
      <c r="M44" s="19" t="n">
        <f aca="false">0</f>
        <v>0</v>
      </c>
      <c r="N44" s="19" t="n">
        <f aca="false">0</f>
        <v>0</v>
      </c>
      <c r="O44" s="2" t="s">
        <v>314</v>
      </c>
    </row>
    <row r="45" customFormat="false" ht="15" hidden="false" customHeight="false" outlineLevel="0" collapsed="false">
      <c r="A45" s="3" t="s">
        <v>315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customFormat="false" ht="15" hidden="false" customHeight="false" outlineLevel="0" collapsed="false">
      <c r="A46" s="7" t="s">
        <v>316</v>
      </c>
      <c r="B46" s="2" t="s">
        <v>147</v>
      </c>
      <c r="C46" s="8" t="n">
        <f aca="false">Historicals!B5</f>
        <v>18364</v>
      </c>
      <c r="D46" s="8" t="n">
        <f aca="false">Historicals!C5</f>
        <v>22138</v>
      </c>
      <c r="E46" s="19" t="n">
        <f aca="false">E6+E16+E22</f>
        <v>26770.11</v>
      </c>
      <c r="F46" s="19" t="n">
        <f aca="false">F6+F16+F22</f>
        <v>32973.9422</v>
      </c>
      <c r="G46" s="19" t="n">
        <f aca="false">G6+G16+G22</f>
        <v>37752.088054</v>
      </c>
      <c r="H46" s="19" t="n">
        <f aca="false">H6+H16+H22</f>
        <v>42645.7841184</v>
      </c>
      <c r="I46" s="19" t="n">
        <f aca="false">I6+I16+I22</f>
        <v>47489.0951520384</v>
      </c>
      <c r="J46" s="19" t="n">
        <f aca="false">J6+J16+J22</f>
        <v>52437.6436727264</v>
      </c>
      <c r="K46" s="19" t="n">
        <f aca="false">K6+K16+K22</f>
        <v>57384.8647389011</v>
      </c>
      <c r="L46" s="19" t="n">
        <f aca="false">L6+L16+L22</f>
        <v>62255.5070746575</v>
      </c>
      <c r="M46" s="19" t="n">
        <f aca="false">M6+M16+M22</f>
        <v>66946.5695687826</v>
      </c>
      <c r="N46" s="19" t="n">
        <f aca="false">N6+N16+N22</f>
        <v>71326.026760477</v>
      </c>
    </row>
    <row r="47" customFormat="false" ht="15" hidden="false" customHeight="false" outlineLevel="0" collapsed="false">
      <c r="A47" s="9" t="s">
        <v>47</v>
      </c>
      <c r="B47" s="41" t="s">
        <v>147</v>
      </c>
      <c r="C47" s="43" t="n">
        <f aca="false">C9+C25+C40+C43</f>
        <v>2797</v>
      </c>
      <c r="D47" s="43" t="n">
        <f aca="false">D9+D25+D40+D43</f>
        <v>3370</v>
      </c>
      <c r="E47" s="43" t="n">
        <f aca="false">E9+E18+E25+E40+E43</f>
        <v>4157.82193</v>
      </c>
      <c r="F47" s="43" t="n">
        <f aca="false">F9+F18+F25+F40+F43</f>
        <v>5346.8633594</v>
      </c>
      <c r="G47" s="43" t="n">
        <f aca="false">G9+G18+G25+G40+G43</f>
        <v>6798.352614228</v>
      </c>
      <c r="H47" s="43" t="n">
        <f aca="false">H9+H18+H25+H40+H43</f>
        <v>7882.95894547264</v>
      </c>
      <c r="I47" s="43" t="n">
        <f aca="false">I9+I18+I25+I40+I43</f>
        <v>8926.52232450367</v>
      </c>
      <c r="J47" s="43" t="n">
        <f aca="false">J9+J18+J25+J40+J43</f>
        <v>9995.54042411561</v>
      </c>
      <c r="K47" s="43" t="n">
        <f aca="false">K9+K18+K25+K40+K43</f>
        <v>11049.1655352784</v>
      </c>
      <c r="L47" s="43" t="n">
        <f aca="false">L9+L18+L25+L40+L43</f>
        <v>12091.4928587578</v>
      </c>
      <c r="M47" s="43" t="n">
        <f aca="false">M9+M18+M25+M40+M43</f>
        <v>13087.2684524979</v>
      </c>
      <c r="N47" s="43" t="n">
        <f aca="false">N9+N18+N25+N40+N43</f>
        <v>14043.9047664539</v>
      </c>
    </row>
    <row r="48" customFormat="false" ht="15" hidden="false" customHeight="false" outlineLevel="0" collapsed="false">
      <c r="A48" s="7" t="s">
        <v>48</v>
      </c>
      <c r="B48" s="2" t="s">
        <v>155</v>
      </c>
      <c r="D48" s="14" t="n">
        <f aca="false">D47/C47-1</f>
        <v>0.204862352520558</v>
      </c>
      <c r="E48" s="14" t="n">
        <f aca="false">E47/D47-1</f>
        <v>0.233775053412463</v>
      </c>
      <c r="F48" s="14" t="n">
        <f aca="false">F47/E47-1</f>
        <v>0.285976996951382</v>
      </c>
      <c r="G48" s="14" t="n">
        <f aca="false">G47/F47-1</f>
        <v>0.271465559761542</v>
      </c>
      <c r="H48" s="14" t="n">
        <f aca="false">H47/G47-1</f>
        <v>0.159539581541374</v>
      </c>
      <c r="I48" s="14" t="n">
        <f aca="false">I47/H47-1</f>
        <v>0.132382191287496</v>
      </c>
      <c r="J48" s="14" t="n">
        <f aca="false">J47/I47-1</f>
        <v>0.119757511464172</v>
      </c>
      <c r="K48" s="14" t="n">
        <f aca="false">K47/J47-1</f>
        <v>0.105409519291304</v>
      </c>
      <c r="L48" s="14" t="n">
        <f aca="false">L47/K47-1</f>
        <v>0.0943353885097769</v>
      </c>
      <c r="M48" s="14" t="n">
        <f aca="false">M47/L47-1</f>
        <v>0.0823534037832989</v>
      </c>
      <c r="N48" s="14" t="n">
        <f aca="false">N47/M47-1</f>
        <v>0.0730967136059153</v>
      </c>
    </row>
    <row r="49" customFormat="false" ht="15" hidden="false" customHeight="false" outlineLevel="0" collapsed="false">
      <c r="A49" s="7" t="s">
        <v>94</v>
      </c>
      <c r="B49" s="2" t="s">
        <v>147</v>
      </c>
      <c r="C49" s="19" t="n">
        <f aca="false">C11+C29+C41+C44</f>
        <v>663</v>
      </c>
      <c r="D49" s="19" t="n">
        <f aca="false">D11+D29+D41+D44</f>
        <v>868</v>
      </c>
      <c r="E49" s="19" t="n">
        <f aca="false">E11+E20+E29+E41+E44</f>
        <v>1161.544404</v>
      </c>
      <c r="F49" s="19" t="n">
        <f aca="false">F11+F20+F29+F41+F44</f>
        <v>1544.2804736</v>
      </c>
      <c r="G49" s="19" t="n">
        <f aca="false">G11+G20+G29+G41+G44</f>
        <v>2111.02959815</v>
      </c>
      <c r="H49" s="19" t="n">
        <f aca="false">H11+H20+H29+H41+H44</f>
        <v>2557.6231830496</v>
      </c>
      <c r="I49" s="19" t="n">
        <f aca="false">I11+I20+I29+I41+I44</f>
        <v>2994.12573709612</v>
      </c>
      <c r="J49" s="19" t="n">
        <f aca="false">J11+J20+J29+J41+J44</f>
        <v>3437.97661946198</v>
      </c>
      <c r="K49" s="19" t="n">
        <f aca="false">K11+K20+K29+K41+K44</f>
        <v>3846.16789939361</v>
      </c>
      <c r="L49" s="19" t="n">
        <f aca="false">L11+L20+L29+L41+L44</f>
        <v>4262.3338888917</v>
      </c>
      <c r="M49" s="19" t="n">
        <f aca="false">M11+M20+M29+M41+M44</f>
        <v>4602.46600021022</v>
      </c>
      <c r="N49" s="19" t="n">
        <f aca="false">N11+N20+N29+N41+N44</f>
        <v>4925.92813859127</v>
      </c>
    </row>
    <row r="50" customFormat="false" ht="15" hidden="false" customHeight="false" outlineLevel="0" collapsed="false">
      <c r="A50" s="7" t="s">
        <v>95</v>
      </c>
      <c r="B50" s="2" t="s">
        <v>147</v>
      </c>
      <c r="C50" s="8" t="n">
        <f aca="false">Historicals!B21</f>
        <v>350</v>
      </c>
      <c r="D50" s="8" t="n">
        <f aca="false">Historicals!C21</f>
        <v>368</v>
      </c>
      <c r="E50" s="19" t="n">
        <f aca="false">D50*(1+E51)</f>
        <v>425.04</v>
      </c>
      <c r="F50" s="19" t="n">
        <f aca="false">E50*(1+F51)</f>
        <v>463.2936</v>
      </c>
      <c r="G50" s="19" t="n">
        <f aca="false">F50*(1+G51)</f>
        <v>500.357088</v>
      </c>
      <c r="H50" s="19" t="n">
        <f aca="false">G50*(1+H51)</f>
        <v>535.38208416</v>
      </c>
      <c r="I50" s="19" t="n">
        <f aca="false">H50*(1+I51)</f>
        <v>567.5050092096</v>
      </c>
      <c r="J50" s="19" t="n">
        <f aca="false">I50*(1+J51)</f>
        <v>601.555309762176</v>
      </c>
      <c r="K50" s="19" t="n">
        <f aca="false">J50*(1+K51)</f>
        <v>631.633075250285</v>
      </c>
      <c r="L50" s="19" t="n">
        <f aca="false">K50*(1+L51)</f>
        <v>663.214729012799</v>
      </c>
      <c r="M50" s="19" t="n">
        <f aca="false">L50*(1+M51)</f>
        <v>689.743318173311</v>
      </c>
      <c r="N50" s="19" t="n">
        <f aca="false">M50*(1+N51)</f>
        <v>717.333050900244</v>
      </c>
    </row>
    <row r="51" customFormat="false" ht="15" hidden="false" customHeight="false" outlineLevel="0" collapsed="false">
      <c r="A51" s="7" t="s">
        <v>48</v>
      </c>
      <c r="B51" s="2" t="s">
        <v>155</v>
      </c>
      <c r="D51" s="14" t="n">
        <f aca="false">D50/C50-1</f>
        <v>0.0514285714285714</v>
      </c>
      <c r="E51" s="15" t="n">
        <f aca="false">Inputs!E127</f>
        <v>0.155</v>
      </c>
      <c r="F51" s="15" t="n">
        <f aca="false">Inputs!F127</f>
        <v>0.09</v>
      </c>
      <c r="G51" s="15" t="n">
        <f aca="false">Inputs!G127</f>
        <v>0.08</v>
      </c>
      <c r="H51" s="15" t="n">
        <f aca="false">Inputs!H127</f>
        <v>0.07</v>
      </c>
      <c r="I51" s="15" t="n">
        <f aca="false">Inputs!I127</f>
        <v>0.06</v>
      </c>
      <c r="J51" s="15" t="n">
        <f aca="false">Inputs!J127</f>
        <v>0.06</v>
      </c>
      <c r="K51" s="15" t="n">
        <f aca="false">Inputs!K127</f>
        <v>0.05</v>
      </c>
      <c r="L51" s="15" t="n">
        <f aca="false">Inputs!L127</f>
        <v>0.05</v>
      </c>
      <c r="M51" s="15" t="n">
        <f aca="false">Inputs!M127</f>
        <v>0.04</v>
      </c>
      <c r="N51" s="15" t="n">
        <f aca="false">Inputs!N127</f>
        <v>0.04</v>
      </c>
    </row>
    <row r="52" customFormat="false" ht="15" hidden="false" customHeight="false" outlineLevel="0" collapsed="false">
      <c r="A52" s="9" t="s">
        <v>49</v>
      </c>
      <c r="B52" s="41" t="s">
        <v>147</v>
      </c>
      <c r="C52" s="43" t="n">
        <f aca="false">C49-C50</f>
        <v>313</v>
      </c>
      <c r="D52" s="43" t="n">
        <f aca="false">D49-D50</f>
        <v>500</v>
      </c>
      <c r="E52" s="43" t="n">
        <f aca="false">E49-E50</f>
        <v>736.504404</v>
      </c>
      <c r="F52" s="43" t="n">
        <f aca="false">F49-F50</f>
        <v>1080.9868736</v>
      </c>
      <c r="G52" s="43" t="n">
        <f aca="false">G49-G50</f>
        <v>1610.67251015</v>
      </c>
      <c r="H52" s="43" t="n">
        <f aca="false">H49-H50</f>
        <v>2022.2410988896</v>
      </c>
      <c r="I52" s="43" t="n">
        <f aca="false">I49-I50</f>
        <v>2426.62072788652</v>
      </c>
      <c r="J52" s="43" t="n">
        <f aca="false">J49-J50</f>
        <v>2836.42130969981</v>
      </c>
      <c r="K52" s="43" t="n">
        <f aca="false">K49-K50</f>
        <v>3214.53482414333</v>
      </c>
      <c r="L52" s="43" t="n">
        <f aca="false">L49-L50</f>
        <v>3599.1191598789</v>
      </c>
      <c r="M52" s="43" t="n">
        <f aca="false">M49-M50</f>
        <v>3912.72268203691</v>
      </c>
      <c r="N52" s="43" t="n">
        <f aca="false">N49-N50</f>
        <v>4208.59508769102</v>
      </c>
    </row>
    <row r="53" customFormat="false" ht="15" hidden="false" customHeight="false" outlineLevel="0" collapsed="false">
      <c r="A53" s="7" t="s">
        <v>317</v>
      </c>
      <c r="B53" s="2" t="s">
        <v>155</v>
      </c>
      <c r="C53" s="14" t="n">
        <f aca="false">C52/C47</f>
        <v>0.111905613156954</v>
      </c>
      <c r="D53" s="14" t="n">
        <f aca="false">D52/D47</f>
        <v>0.148367952522255</v>
      </c>
      <c r="E53" s="14" t="n">
        <f aca="false">E52/E47</f>
        <v>0.177137072342105</v>
      </c>
      <c r="F53" s="14" t="n">
        <f aca="false">F52/F47</f>
        <v>0.202172152332934</v>
      </c>
      <c r="G53" s="14" t="n">
        <f aca="false">G52/G47</f>
        <v>0.236921001534855</v>
      </c>
      <c r="H53" s="14" t="n">
        <f aca="false">H52/H47</f>
        <v>0.256533252662824</v>
      </c>
      <c r="I53" s="14" t="n">
        <f aca="false">I52/I47</f>
        <v>0.271843909606919</v>
      </c>
      <c r="J53" s="14" t="n">
        <f aca="false">J52/J47</f>
        <v>0.283768679766084</v>
      </c>
      <c r="K53" s="14" t="n">
        <f aca="false">K52/K47</f>
        <v>0.290930099099318</v>
      </c>
      <c r="L53" s="14" t="n">
        <f aca="false">L52/L47</f>
        <v>0.297657138115256</v>
      </c>
      <c r="M53" s="14" t="n">
        <f aca="false">M52/M47</f>
        <v>0.29897168352882</v>
      </c>
      <c r="N53" s="14" t="n">
        <f aca="false">N52/N47</f>
        <v>0.299674140324842</v>
      </c>
    </row>
    <row r="54" customFormat="false" ht="15" hidden="false" customHeight="false" outlineLevel="0" collapsed="false">
      <c r="A54" s="7" t="s">
        <v>48</v>
      </c>
      <c r="B54" s="2" t="s">
        <v>155</v>
      </c>
      <c r="D54" s="14" t="n">
        <f aca="false">D52/C52-1</f>
        <v>0.597444089456869</v>
      </c>
      <c r="E54" s="14" t="n">
        <f aca="false">E52/D52-1</f>
        <v>0.473008808</v>
      </c>
      <c r="F54" s="14" t="n">
        <f aca="false">F52/E52-1</f>
        <v>0.467726286128223</v>
      </c>
      <c r="G54" s="14" t="n">
        <f aca="false">G52/F52-1</f>
        <v>0.490001913516297</v>
      </c>
      <c r="H54" s="14" t="n">
        <f aca="false">H52/G52-1</f>
        <v>0.255525928546003</v>
      </c>
      <c r="I54" s="14" t="n">
        <f aca="false">I52/H52-1</f>
        <v>0.199966081798537</v>
      </c>
      <c r="J54" s="14" t="n">
        <f aca="false">J52/I52-1</f>
        <v>0.168877063112457</v>
      </c>
      <c r="K54" s="14" t="n">
        <f aca="false">K52/J52-1</f>
        <v>0.133306541292181</v>
      </c>
      <c r="L54" s="14" t="n">
        <f aca="false">L52/K52-1</f>
        <v>0.119639187868516</v>
      </c>
      <c r="M54" s="14" t="n">
        <f aca="false">M52/L52-1</f>
        <v>0.0871334091001774</v>
      </c>
      <c r="N54" s="14" t="n">
        <f aca="false">N52/M52-1</f>
        <v>0.0756180362621775</v>
      </c>
    </row>
    <row r="55" customFormat="false" ht="15" hidden="false" customHeight="false" outlineLevel="0" collapsed="false">
      <c r="A55" s="7" t="s">
        <v>318</v>
      </c>
      <c r="B55" s="2" t="s">
        <v>147</v>
      </c>
      <c r="C55" s="19" t="n">
        <f aca="false">C52-Historicals!B22</f>
        <v>0</v>
      </c>
      <c r="D55" s="19" t="n">
        <f aca="false">D52-Historicals!C22</f>
        <v>0</v>
      </c>
      <c r="O55" s="2" t="s">
        <v>319</v>
      </c>
    </row>
    <row r="56" customFormat="false" ht="15" hidden="false" customHeight="false" outlineLevel="0" collapsed="false">
      <c r="A56" s="3" t="s">
        <v>320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customFormat="false" ht="15" hidden="false" customHeight="false" outlineLevel="0" collapsed="false">
      <c r="A57" s="7" t="s">
        <v>51</v>
      </c>
      <c r="B57" s="2" t="s">
        <v>147</v>
      </c>
      <c r="C57" s="8" t="n">
        <f aca="false">Historicals!B25</f>
        <v>279</v>
      </c>
      <c r="D57" s="8" t="n">
        <f aca="false">Historicals!C25</f>
        <v>241</v>
      </c>
      <c r="E57" s="19" t="n">
        <f aca="false">E47*E58</f>
        <v>270.25842545</v>
      </c>
      <c r="F57" s="19" t="n">
        <f aca="false">F47*F58</f>
        <v>310.1180748452</v>
      </c>
      <c r="G57" s="19" t="n">
        <f aca="false">G47*G58</f>
        <v>353.514335939856</v>
      </c>
      <c r="H57" s="19" t="n">
        <f aca="false">H47*H58</f>
        <v>378.382029382687</v>
      </c>
      <c r="I57" s="19" t="n">
        <f aca="false">I47*I58</f>
        <v>401.693504602665</v>
      </c>
      <c r="J57" s="19" t="n">
        <f aca="false">J47*J58</f>
        <v>419.812697812856</v>
      </c>
      <c r="K57" s="19" t="n">
        <f aca="false">K47*K58</f>
        <v>441.966621411137</v>
      </c>
      <c r="L57" s="19" t="n">
        <f aca="false">L47*L58</f>
        <v>459.476728632795</v>
      </c>
      <c r="M57" s="19" t="n">
        <f aca="false">M47*M58</f>
        <v>471.141664289925</v>
      </c>
      <c r="N57" s="19" t="n">
        <f aca="false">N47*N58</f>
        <v>491.536666825886</v>
      </c>
    </row>
    <row r="58" customFormat="false" ht="15" hidden="false" customHeight="false" outlineLevel="0" collapsed="false">
      <c r="A58" s="7" t="s">
        <v>321</v>
      </c>
      <c r="B58" s="2" t="s">
        <v>155</v>
      </c>
      <c r="C58" s="14" t="n">
        <f aca="false">C57/C47</f>
        <v>0.0997497318555595</v>
      </c>
      <c r="D58" s="14" t="n">
        <f aca="false">D57/D47</f>
        <v>0.071513353115727</v>
      </c>
      <c r="E58" s="15" t="n">
        <f aca="false">Inputs!E130</f>
        <v>0.065</v>
      </c>
      <c r="F58" s="15" t="n">
        <f aca="false">Inputs!F130</f>
        <v>0.058</v>
      </c>
      <c r="G58" s="15" t="n">
        <f aca="false">Inputs!G130</f>
        <v>0.052</v>
      </c>
      <c r="H58" s="15" t="n">
        <f aca="false">Inputs!H130</f>
        <v>0.048</v>
      </c>
      <c r="I58" s="15" t="n">
        <f aca="false">Inputs!I130</f>
        <v>0.045</v>
      </c>
      <c r="J58" s="15" t="n">
        <f aca="false">Inputs!J130</f>
        <v>0.042</v>
      </c>
      <c r="K58" s="15" t="n">
        <f aca="false">Inputs!K130</f>
        <v>0.04</v>
      </c>
      <c r="L58" s="15" t="n">
        <f aca="false">Inputs!L130</f>
        <v>0.038</v>
      </c>
      <c r="M58" s="15" t="n">
        <f aca="false">Inputs!M130</f>
        <v>0.036</v>
      </c>
      <c r="N58" s="15" t="n">
        <f aca="false">Inputs!N130</f>
        <v>0.035</v>
      </c>
    </row>
    <row r="59" customFormat="false" ht="15" hidden="false" customHeight="false" outlineLevel="0" collapsed="false">
      <c r="A59" s="7" t="s">
        <v>98</v>
      </c>
      <c r="B59" s="2" t="s">
        <v>147</v>
      </c>
      <c r="C59" s="8" t="n">
        <f aca="false">Historicals!B26</f>
        <v>147</v>
      </c>
      <c r="D59" s="8" t="n">
        <f aca="false">Historicals!C26</f>
        <v>177</v>
      </c>
      <c r="E59" s="19" t="n">
        <f aca="false">E47*E60</f>
        <v>228.68020615</v>
      </c>
      <c r="F59" s="19" t="n">
        <f aca="false">F47*F60</f>
        <v>278.0368946888</v>
      </c>
      <c r="G59" s="19" t="n">
        <f aca="false">G47*G60</f>
        <v>339.9176307114</v>
      </c>
      <c r="H59" s="19" t="n">
        <f aca="false">H47*H60</f>
        <v>378.382029382687</v>
      </c>
      <c r="I59" s="19" t="n">
        <f aca="false">I47*I60</f>
        <v>410.620026927169</v>
      </c>
      <c r="J59" s="19" t="n">
        <f aca="false">J47*J60</f>
        <v>449.799319085202</v>
      </c>
      <c r="K59" s="19" t="n">
        <f aca="false">K47*K60</f>
        <v>486.163283552251</v>
      </c>
      <c r="L59" s="19" t="n">
        <f aca="false">L47*L60</f>
        <v>519.934192926584</v>
      </c>
      <c r="M59" s="19" t="n">
        <f aca="false">M47*M60</f>
        <v>549.665275004913</v>
      </c>
      <c r="N59" s="19" t="n">
        <f aca="false">N47*N60</f>
        <v>575.800095424609</v>
      </c>
    </row>
    <row r="60" customFormat="false" ht="15" hidden="false" customHeight="false" outlineLevel="0" collapsed="false">
      <c r="A60" s="7" t="s">
        <v>321</v>
      </c>
      <c r="B60" s="2" t="s">
        <v>155</v>
      </c>
      <c r="C60" s="14" t="n">
        <f aca="false">C59/C47</f>
        <v>0.0525563103324991</v>
      </c>
      <c r="D60" s="14" t="n">
        <f aca="false">D59/D47</f>
        <v>0.0525222551928783</v>
      </c>
      <c r="E60" s="15" t="n">
        <f aca="false">Inputs!E133</f>
        <v>0.055</v>
      </c>
      <c r="F60" s="15" t="n">
        <f aca="false">Inputs!F133</f>
        <v>0.052</v>
      </c>
      <c r="G60" s="15" t="n">
        <f aca="false">Inputs!G133</f>
        <v>0.05</v>
      </c>
      <c r="H60" s="15" t="n">
        <f aca="false">Inputs!H133</f>
        <v>0.048</v>
      </c>
      <c r="I60" s="15" t="n">
        <f aca="false">Inputs!I133</f>
        <v>0.046</v>
      </c>
      <c r="J60" s="15" t="n">
        <f aca="false">Inputs!J133</f>
        <v>0.045</v>
      </c>
      <c r="K60" s="15" t="n">
        <f aca="false">Inputs!K133</f>
        <v>0.044</v>
      </c>
      <c r="L60" s="15" t="n">
        <f aca="false">Inputs!L133</f>
        <v>0.043</v>
      </c>
      <c r="M60" s="15" t="n">
        <f aca="false">Inputs!M133</f>
        <v>0.042</v>
      </c>
      <c r="N60" s="15" t="n">
        <f aca="false">Inputs!N133</f>
        <v>0.041</v>
      </c>
    </row>
    <row r="61" customFormat="false" ht="15" hidden="false" customHeight="false" outlineLevel="0" collapsed="false">
      <c r="A61" s="9" t="s">
        <v>322</v>
      </c>
      <c r="B61" s="41" t="s">
        <v>147</v>
      </c>
      <c r="C61" s="43" t="n">
        <f aca="false">C52-C57-C59</f>
        <v>-113</v>
      </c>
      <c r="D61" s="43" t="n">
        <f aca="false">D52-D57-D59</f>
        <v>82</v>
      </c>
      <c r="E61" s="43" t="n">
        <f aca="false">E52-E57-E59</f>
        <v>237.5657724</v>
      </c>
      <c r="F61" s="43" t="n">
        <f aca="false">F52-F57-F59</f>
        <v>492.831904066</v>
      </c>
      <c r="G61" s="43" t="n">
        <f aca="false">G52-G57-G59</f>
        <v>917.240543498744</v>
      </c>
      <c r="H61" s="43" t="n">
        <f aca="false">H52-H57-H59</f>
        <v>1265.47704012423</v>
      </c>
      <c r="I61" s="43" t="n">
        <f aca="false">I52-I57-I59</f>
        <v>1614.30719635669</v>
      </c>
      <c r="J61" s="43" t="n">
        <f aca="false">J52-J57-J59</f>
        <v>1966.80929280175</v>
      </c>
      <c r="K61" s="43" t="n">
        <f aca="false">K52-K57-K59</f>
        <v>2286.40491917994</v>
      </c>
      <c r="L61" s="43" t="n">
        <f aca="false">L52-L57-L59</f>
        <v>2619.70823831952</v>
      </c>
      <c r="M61" s="43" t="n">
        <f aca="false">M52-M57-M59</f>
        <v>2891.91574274207</v>
      </c>
      <c r="N61" s="43" t="n">
        <f aca="false">N52-N57-N59</f>
        <v>3141.25832544053</v>
      </c>
    </row>
    <row r="62" customFormat="false" ht="15" hidden="false" customHeight="false" outlineLevel="0" collapsed="false">
      <c r="A62" s="7" t="s">
        <v>323</v>
      </c>
      <c r="B62" s="2" t="s">
        <v>147</v>
      </c>
      <c r="C62" s="8" t="n">
        <f aca="false">Historicals!B28</f>
        <v>58</v>
      </c>
      <c r="D62" s="8" t="n">
        <f aca="false">Historicals!C28</f>
        <v>89</v>
      </c>
      <c r="E62" s="19" t="n">
        <f aca="false">MAX(Inputs!$B$22*E61,Inputs!$B$29*E52)</f>
        <v>88.38052848</v>
      </c>
      <c r="F62" s="19" t="n">
        <f aca="false">MAX(Inputs!$B$22*F61,Inputs!$B$29*F52)</f>
        <v>129.718424832</v>
      </c>
      <c r="G62" s="19" t="n">
        <f aca="false">MAX(Inputs!$B$22*G61,Inputs!$B$29*G52)</f>
        <v>193.280701218</v>
      </c>
      <c r="H62" s="19" t="n">
        <f aca="false">MAX(Inputs!$B$22*H61,Inputs!$B$29*H52)</f>
        <v>265.750178426088</v>
      </c>
      <c r="I62" s="19" t="n">
        <f aca="false">MAX(Inputs!$B$22*I61,Inputs!$B$29*I52)</f>
        <v>339.004511234904</v>
      </c>
      <c r="J62" s="19" t="n">
        <f aca="false">MAX(Inputs!$B$22*J61,Inputs!$B$29*J52)</f>
        <v>413.029951488367</v>
      </c>
      <c r="K62" s="19" t="n">
        <f aca="false">MAX(Inputs!$B$22*K61,Inputs!$B$29*K52)</f>
        <v>480.145033027787</v>
      </c>
      <c r="L62" s="19" t="n">
        <f aca="false">MAX(Inputs!$B$22*L61,Inputs!$B$29*L52)</f>
        <v>550.138730047098</v>
      </c>
      <c r="M62" s="19" t="n">
        <f aca="false">MAX(Inputs!$B$22*M61,Inputs!$B$29*M52)</f>
        <v>607.302305975835</v>
      </c>
      <c r="N62" s="19" t="n">
        <f aca="false">MAX(Inputs!$B$22*N61,Inputs!$B$29*N52)</f>
        <v>659.664248342511</v>
      </c>
      <c r="O62" s="2" t="s">
        <v>324</v>
      </c>
    </row>
    <row r="63" customFormat="false" ht="15" hidden="false" customHeight="false" outlineLevel="0" collapsed="false">
      <c r="A63" s="7" t="s">
        <v>325</v>
      </c>
      <c r="B63" s="2" t="s">
        <v>147</v>
      </c>
      <c r="C63" s="8" t="n">
        <f aca="false">Historicals!B27</f>
        <v>149</v>
      </c>
      <c r="D63" s="8" t="n">
        <f aca="false">Historicals!C27</f>
        <v>188</v>
      </c>
      <c r="E63" s="19" t="n">
        <f aca="false">E47*E64</f>
        <v>195.41763071</v>
      </c>
      <c r="F63" s="19" t="n">
        <f aca="false">F47*F64</f>
        <v>245.9557145324</v>
      </c>
      <c r="G63" s="19" t="n">
        <f aca="false">G47*G64</f>
        <v>305.92586764026</v>
      </c>
      <c r="H63" s="19" t="n">
        <f aca="false">H47*H64</f>
        <v>346.850193600796</v>
      </c>
      <c r="I63" s="19" t="n">
        <f aca="false">I47*I64</f>
        <v>383.840459953658</v>
      </c>
      <c r="J63" s="19" t="n">
        <f aca="false">J47*J64</f>
        <v>419.812697812856</v>
      </c>
      <c r="K63" s="19" t="n">
        <f aca="false">K47*K64</f>
        <v>453.015786946416</v>
      </c>
      <c r="L63" s="19" t="n">
        <f aca="false">L47*L64</f>
        <v>483.659714350311</v>
      </c>
      <c r="M63" s="19" t="n">
        <f aca="false">M47*M64</f>
        <v>523.490738099917</v>
      </c>
      <c r="N63" s="19" t="n">
        <f aca="false">N47*N64</f>
        <v>561.756190658155</v>
      </c>
    </row>
    <row r="64" customFormat="false" ht="15" hidden="false" customHeight="false" outlineLevel="0" collapsed="false">
      <c r="A64" s="7" t="s">
        <v>321</v>
      </c>
      <c r="B64" s="2" t="s">
        <v>155</v>
      </c>
      <c r="C64" s="14" t="n">
        <f aca="false">C63/C47</f>
        <v>0.0532713621737576</v>
      </c>
      <c r="D64" s="14" t="n">
        <f aca="false">D63/D47</f>
        <v>0.055786350148368</v>
      </c>
      <c r="E64" s="15" t="n">
        <f aca="false">Inputs!E136</f>
        <v>0.047</v>
      </c>
      <c r="F64" s="15" t="n">
        <f aca="false">Inputs!F136</f>
        <v>0.046</v>
      </c>
      <c r="G64" s="15" t="n">
        <f aca="false">Inputs!G136</f>
        <v>0.045</v>
      </c>
      <c r="H64" s="15" t="n">
        <f aca="false">Inputs!H136</f>
        <v>0.044</v>
      </c>
      <c r="I64" s="15" t="n">
        <f aca="false">Inputs!I136</f>
        <v>0.043</v>
      </c>
      <c r="J64" s="15" t="n">
        <f aca="false">Inputs!J136</f>
        <v>0.042</v>
      </c>
      <c r="K64" s="15" t="n">
        <f aca="false">Inputs!K136</f>
        <v>0.041</v>
      </c>
      <c r="L64" s="15" t="n">
        <f aca="false">Inputs!L136</f>
        <v>0.04</v>
      </c>
      <c r="M64" s="15" t="n">
        <f aca="false">Inputs!M136</f>
        <v>0.04</v>
      </c>
      <c r="N64" s="15" t="n">
        <f aca="false">Inputs!N136</f>
        <v>0.04</v>
      </c>
    </row>
    <row r="65" customFormat="false" ht="15" hidden="false" customHeight="false" outlineLevel="0" collapsed="false">
      <c r="A65" s="7" t="s">
        <v>326</v>
      </c>
      <c r="B65" s="2" t="s">
        <v>147</v>
      </c>
      <c r="E65" s="19" t="n">
        <f aca="false">Inputs!$B$31*(E47-D47)</f>
        <v>0</v>
      </c>
      <c r="F65" s="19" t="n">
        <f aca="false">Inputs!$B$31*(F47-E47)</f>
        <v>0</v>
      </c>
      <c r="G65" s="19" t="n">
        <f aca="false">Inputs!$B$31*(G47-F47)</f>
        <v>0</v>
      </c>
      <c r="H65" s="19" t="n">
        <f aca="false">Inputs!$B$31*(H47-G47)</f>
        <v>0</v>
      </c>
      <c r="I65" s="19" t="n">
        <f aca="false">Inputs!$B$31*(I47-H47)</f>
        <v>0</v>
      </c>
      <c r="J65" s="19" t="n">
        <f aca="false">Inputs!$B$31*(J47-I47)</f>
        <v>0</v>
      </c>
      <c r="K65" s="19" t="n">
        <f aca="false">Inputs!$B$31*(K47-J47)</f>
        <v>0</v>
      </c>
      <c r="L65" s="19" t="n">
        <f aca="false">Inputs!$B$31*(L47-K47)</f>
        <v>0</v>
      </c>
      <c r="M65" s="19" t="n">
        <f aca="false">Inputs!$B$31*(M47-L47)</f>
        <v>0</v>
      </c>
      <c r="N65" s="19" t="n">
        <f aca="false">Inputs!$B$31*(N47-M47)</f>
        <v>0</v>
      </c>
    </row>
    <row r="66" customFormat="false" ht="15" hidden="false" customHeight="false" outlineLevel="0" collapsed="false">
      <c r="A66" s="7" t="s">
        <v>327</v>
      </c>
      <c r="B66" s="2" t="s">
        <v>147</v>
      </c>
      <c r="C66" s="8" t="n">
        <f aca="false">Historicals!B31</f>
        <v>586</v>
      </c>
      <c r="D66" s="8" t="n">
        <f aca="false">Historicals!C31</f>
        <v>1278</v>
      </c>
      <c r="E66" s="19" t="n">
        <f aca="false">D66*(1+E67)</f>
        <v>3105.54</v>
      </c>
      <c r="F66" s="19" t="n">
        <f aca="false">E66*(1+F67)</f>
        <v>4192.479</v>
      </c>
      <c r="G66" s="19" t="n">
        <f aca="false">F66*(1+G67)</f>
        <v>5450.2227</v>
      </c>
      <c r="H66" s="19" t="n">
        <f aca="false">G66*(1+H67)</f>
        <v>6649.271694</v>
      </c>
      <c r="I66" s="19" t="n">
        <f aca="false">H66*(1+I67)</f>
        <v>7846.14059892</v>
      </c>
      <c r="J66" s="19" t="n">
        <f aca="false">I66*(1+J67)</f>
        <v>9023.061688758</v>
      </c>
      <c r="K66" s="19" t="n">
        <f aca="false">J66*(1+K67)</f>
        <v>10105.829091409</v>
      </c>
      <c r="L66" s="19" t="n">
        <f aca="false">K66*(1+L67)</f>
        <v>11116.4120005499</v>
      </c>
      <c r="M66" s="19" t="n">
        <f aca="false">L66*(1+M67)</f>
        <v>12116.8890805993</v>
      </c>
      <c r="N66" s="19" t="n">
        <f aca="false">M66*(1+N67)</f>
        <v>13086.2402070473</v>
      </c>
    </row>
    <row r="67" customFormat="false" ht="15" hidden="false" customHeight="false" outlineLevel="0" collapsed="false">
      <c r="A67" s="7" t="s">
        <v>48</v>
      </c>
      <c r="B67" s="2" t="s">
        <v>155</v>
      </c>
      <c r="D67" s="14" t="n">
        <f aca="false">D66/C66-1</f>
        <v>1.18088737201365</v>
      </c>
      <c r="E67" s="15" t="n">
        <f aca="false">Inputs!E109</f>
        <v>1.43</v>
      </c>
      <c r="F67" s="15" t="n">
        <f aca="false">Inputs!F109</f>
        <v>0.35</v>
      </c>
      <c r="G67" s="15" t="n">
        <f aca="false">Inputs!G109</f>
        <v>0.3</v>
      </c>
      <c r="H67" s="15" t="n">
        <f aca="false">Inputs!H109</f>
        <v>0.22</v>
      </c>
      <c r="I67" s="15" t="n">
        <f aca="false">Inputs!I109</f>
        <v>0.18</v>
      </c>
      <c r="J67" s="15" t="n">
        <f aca="false">Inputs!J109</f>
        <v>0.15</v>
      </c>
      <c r="K67" s="15" t="n">
        <f aca="false">Inputs!K109</f>
        <v>0.12</v>
      </c>
      <c r="L67" s="15" t="n">
        <f aca="false">Inputs!L109</f>
        <v>0.1</v>
      </c>
      <c r="M67" s="15" t="n">
        <f aca="false">Inputs!M109</f>
        <v>0.09</v>
      </c>
      <c r="N67" s="15" t="n">
        <f aca="false">Inputs!N109</f>
        <v>0.08</v>
      </c>
    </row>
    <row r="68" customFormat="false" ht="15" hidden="false" customHeight="false" outlineLevel="0" collapsed="false">
      <c r="A68" s="7" t="s">
        <v>328</v>
      </c>
      <c r="B68" s="2" t="s">
        <v>147</v>
      </c>
      <c r="E68" s="8" t="n">
        <f aca="false">Inputs!$B$35</f>
        <v>756</v>
      </c>
      <c r="F68" s="8" t="n">
        <f aca="false">0</f>
        <v>0</v>
      </c>
      <c r="G68" s="8" t="n">
        <f aca="false">0</f>
        <v>0</v>
      </c>
      <c r="H68" s="8" t="n">
        <f aca="false">0</f>
        <v>0</v>
      </c>
      <c r="I68" s="8" t="n">
        <f aca="false">0</f>
        <v>0</v>
      </c>
      <c r="J68" s="8" t="n">
        <f aca="false">0</f>
        <v>0</v>
      </c>
      <c r="K68" s="8" t="n">
        <f aca="false">0</f>
        <v>0</v>
      </c>
      <c r="L68" s="8" t="n">
        <f aca="false">0</f>
        <v>0</v>
      </c>
      <c r="M68" s="8" t="n">
        <f aca="false">0</f>
        <v>0</v>
      </c>
      <c r="N68" s="8" t="n">
        <f aca="false">0</f>
        <v>0</v>
      </c>
      <c r="O68" s="2" t="s">
        <v>329</v>
      </c>
    </row>
    <row r="69" customFormat="false" ht="15" hidden="false" customHeight="false" outlineLevel="0" collapsed="false">
      <c r="A69" s="7" t="s">
        <v>330</v>
      </c>
      <c r="B69" s="2" t="s">
        <v>147</v>
      </c>
      <c r="E69" s="19" t="n">
        <f aca="false">IF(E36&gt;0,Inputs!E121,0)</f>
        <v>0</v>
      </c>
      <c r="F69" s="19" t="n">
        <f aca="false">IF(F36&gt;0,Inputs!F121,0)</f>
        <v>1300</v>
      </c>
      <c r="G69" s="19" t="n">
        <f aca="false">IF(G36&gt;0,Inputs!G121,0)</f>
        <v>1650</v>
      </c>
      <c r="H69" s="19" t="n">
        <f aca="false">IF(H36&gt;0,Inputs!H121,0)</f>
        <v>2000</v>
      </c>
      <c r="I69" s="19" t="n">
        <f aca="false">IF(I36&gt;0,Inputs!I121,0)</f>
        <v>2330</v>
      </c>
      <c r="J69" s="19" t="n">
        <f aca="false">IF(J36&gt;0,Inputs!J121,0)</f>
        <v>2620</v>
      </c>
      <c r="K69" s="19" t="n">
        <f aca="false">IF(K36&gt;0,Inputs!K121,0)</f>
        <v>2880</v>
      </c>
      <c r="L69" s="19" t="n">
        <f aca="false">IF(L36&gt;0,Inputs!L121,0)</f>
        <v>3110</v>
      </c>
      <c r="M69" s="19" t="n">
        <f aca="false">IF(M36&gt;0,Inputs!M121,0)</f>
        <v>3330</v>
      </c>
      <c r="N69" s="19" t="n">
        <f aca="false">IF(N36&gt;0,Inputs!N121,0)</f>
        <v>3530</v>
      </c>
    </row>
    <row r="70" customFormat="false" ht="15" hidden="false" customHeight="false" outlineLevel="0" collapsed="false">
      <c r="A70" s="7" t="s">
        <v>54</v>
      </c>
      <c r="B70" s="2" t="s">
        <v>147</v>
      </c>
      <c r="C70" s="19" t="n">
        <f aca="false">C66</f>
        <v>586</v>
      </c>
      <c r="D70" s="19" t="n">
        <f aca="false">D66</f>
        <v>1278</v>
      </c>
      <c r="E70" s="19" t="n">
        <f aca="false">E66+E69</f>
        <v>3105.54</v>
      </c>
      <c r="F70" s="19" t="n">
        <f aca="false">F66+F69</f>
        <v>5492.479</v>
      </c>
      <c r="G70" s="19" t="n">
        <f aca="false">G66+G69</f>
        <v>7100.2227</v>
      </c>
      <c r="H70" s="19" t="n">
        <f aca="false">H66+H69</f>
        <v>8649.271694</v>
      </c>
      <c r="I70" s="19" t="n">
        <f aca="false">I66+I69</f>
        <v>10176.14059892</v>
      </c>
      <c r="J70" s="19" t="n">
        <f aca="false">J66+J69</f>
        <v>11643.061688758</v>
      </c>
      <c r="K70" s="19" t="n">
        <f aca="false">K66+K69</f>
        <v>12985.829091409</v>
      </c>
      <c r="L70" s="19" t="n">
        <f aca="false">L66+L69</f>
        <v>14226.4120005499</v>
      </c>
      <c r="M70" s="19" t="n">
        <f aca="false">M66+M69</f>
        <v>15446.8890805993</v>
      </c>
      <c r="N70" s="19" t="n">
        <f aca="false">N66+N69</f>
        <v>16616.2402070473</v>
      </c>
    </row>
    <row r="71" customFormat="false" ht="15" hidden="false" customHeight="false" outlineLevel="0" collapsed="false">
      <c r="A71" s="7" t="s">
        <v>331</v>
      </c>
      <c r="B71" s="2" t="s">
        <v>147</v>
      </c>
      <c r="E71" s="19" t="n">
        <f aca="false">Inputs!$B$30*((E66-D66-E68)+IF(D69&gt;0,E69-D69,0))</f>
        <v>160.731</v>
      </c>
      <c r="F71" s="19" t="n">
        <f aca="false">Inputs!$B$30*((F66-E66-F68)+IF(E69&gt;0,F69-E69,0))</f>
        <v>163.04085</v>
      </c>
      <c r="G71" s="19" t="n">
        <f aca="false">Inputs!$B$30*((G66-F66-G68)+IF(F69&gt;0,G69-F69,0))</f>
        <v>241.161555</v>
      </c>
      <c r="H71" s="19" t="n">
        <f aca="false">Inputs!$B$30*((H66-G66-H68)+IF(G69&gt;0,H69-G69,0))</f>
        <v>232.3573491</v>
      </c>
      <c r="I71" s="19" t="n">
        <f aca="false">Inputs!$B$30*((I66-H66-I68)+IF(H69&gt;0,I69-H69,0))</f>
        <v>229.030335738</v>
      </c>
      <c r="J71" s="19" t="n">
        <f aca="false">Inputs!$B$30*((J66-I66-J68)+IF(I69&gt;0,J69-I69,0))</f>
        <v>220.0381634757</v>
      </c>
      <c r="K71" s="19" t="n">
        <f aca="false">Inputs!$B$30*((K66-J66-K68)+IF(J69&gt;0,K69-J69,0))</f>
        <v>201.415110397644</v>
      </c>
      <c r="L71" s="19" t="n">
        <f aca="false">Inputs!$B$30*((L66-K66-L68)+IF(K69&gt;0,L69-K69,0))</f>
        <v>186.087436371134</v>
      </c>
      <c r="M71" s="19" t="n">
        <f aca="false">Inputs!$B$30*((M66-L66-M68)+IF(L69&gt;0,M69-L69,0))</f>
        <v>183.071562007423</v>
      </c>
      <c r="N71" s="19" t="n">
        <f aca="false">Inputs!$B$30*((N66-M66-N68)+IF(M69&gt;0,N69-M69,0))</f>
        <v>175.402668967192</v>
      </c>
      <c r="O71" s="2" t="s">
        <v>332</v>
      </c>
    </row>
    <row r="72" customFormat="false" ht="15" hidden="false" customHeight="false" outlineLevel="0" collapsed="false">
      <c r="A72" s="7" t="s">
        <v>333</v>
      </c>
      <c r="B72" s="2" t="s">
        <v>155</v>
      </c>
      <c r="E72" s="15" t="n">
        <f aca="false">Inputs!E124</f>
        <v>0</v>
      </c>
      <c r="F72" s="15" t="n">
        <f aca="false">Inputs!F124</f>
        <v>0.4</v>
      </c>
      <c r="G72" s="15" t="n">
        <f aca="false">Inputs!G124</f>
        <v>0.4</v>
      </c>
      <c r="H72" s="15" t="n">
        <f aca="false">Inputs!H124</f>
        <v>0.4</v>
      </c>
      <c r="I72" s="15" t="n">
        <f aca="false">Inputs!I124</f>
        <v>0</v>
      </c>
      <c r="J72" s="15" t="n">
        <f aca="false">Inputs!J124</f>
        <v>0</v>
      </c>
      <c r="K72" s="15" t="n">
        <f aca="false">Inputs!K124</f>
        <v>0</v>
      </c>
      <c r="L72" s="15" t="n">
        <f aca="false">Inputs!L124</f>
        <v>0</v>
      </c>
      <c r="M72" s="15" t="n">
        <f aca="false">Inputs!M124</f>
        <v>0</v>
      </c>
      <c r="N72" s="15" t="n">
        <f aca="false">Inputs!N124</f>
        <v>0</v>
      </c>
    </row>
    <row r="73" customFormat="false" ht="15" hidden="false" customHeight="false" outlineLevel="0" collapsed="false">
      <c r="A73" s="7" t="s">
        <v>334</v>
      </c>
      <c r="B73" s="2" t="s">
        <v>147</v>
      </c>
      <c r="E73" s="19" t="n">
        <f aca="false">E72*E39*(1-Inputs!$B$22)</f>
        <v>0</v>
      </c>
      <c r="F73" s="19" t="n">
        <f aca="false">F72*F39*(1-Inputs!$B$22)</f>
        <v>7.9632</v>
      </c>
      <c r="G73" s="19" t="n">
        <f aca="false">G72*G39*(1-Inputs!$B$22)</f>
        <v>55.3</v>
      </c>
      <c r="H73" s="19" t="n">
        <f aca="false">H72*H39*(1-Inputs!$B$22)</f>
        <v>72.522</v>
      </c>
      <c r="I73" s="19" t="n">
        <f aca="false">I72*I39*(1-Inputs!$B$22)</f>
        <v>0</v>
      </c>
      <c r="J73" s="19" t="n">
        <f aca="false">J72*J39*(1-Inputs!$B$22)</f>
        <v>0</v>
      </c>
      <c r="K73" s="19" t="n">
        <f aca="false">K72*K39*(1-Inputs!$B$22)</f>
        <v>0</v>
      </c>
      <c r="L73" s="19" t="n">
        <f aca="false">L72*L39*(1-Inputs!$B$22)</f>
        <v>0</v>
      </c>
      <c r="M73" s="19" t="n">
        <f aca="false">M72*M39*(1-Inputs!$B$22)</f>
        <v>0</v>
      </c>
      <c r="N73" s="19" t="n">
        <f aca="false">N72*N39*(1-Inputs!$B$22)</f>
        <v>0</v>
      </c>
    </row>
    <row r="74" customFormat="false" ht="15" hidden="false" customHeight="false" outlineLevel="0" collapsed="false">
      <c r="A74" s="9" t="s">
        <v>335</v>
      </c>
      <c r="B74" s="41" t="s">
        <v>147</v>
      </c>
      <c r="C74" s="45"/>
      <c r="D74" s="45"/>
      <c r="E74" s="43" t="n">
        <f aca="false">E52-E57-E62-E63-E65-E71-E73</f>
        <v>21.71681936</v>
      </c>
      <c r="F74" s="43" t="n">
        <f aca="false">F52-F57-F62-F63-F65-F71-F73</f>
        <v>224.1906093904</v>
      </c>
      <c r="G74" s="43" t="n">
        <f aca="false">G52-G57-G62-G63-G65-G71-G73</f>
        <v>461.490050351884</v>
      </c>
      <c r="H74" s="43" t="n">
        <f aca="false">H52-H57-H62-H63-H65-H71-H73</f>
        <v>726.379348380029</v>
      </c>
      <c r="I74" s="43" t="n">
        <f aca="false">I52-I57-I62-I63-I65-I71-I73</f>
        <v>1073.05191635729</v>
      </c>
      <c r="J74" s="43" t="n">
        <f aca="false">J52-J57-J62-J63-J65-J71-J73</f>
        <v>1363.72779911003</v>
      </c>
      <c r="K74" s="43" t="n">
        <f aca="false">K52-K57-K62-K63-K65-K71-K73</f>
        <v>1637.99227236034</v>
      </c>
      <c r="L74" s="43" t="n">
        <f aca="false">L52-L57-L62-L63-L65-L71-L73</f>
        <v>1919.75655047756</v>
      </c>
      <c r="M74" s="43" t="n">
        <f aca="false">M52-M57-M62-M63-M65-M71-M73</f>
        <v>2127.71641166381</v>
      </c>
      <c r="N74" s="43" t="n">
        <f aca="false">N52-N57-N62-N63-N65-N71-N73</f>
        <v>2320.23531289728</v>
      </c>
    </row>
    <row r="75" customFormat="false" ht="15" hidden="false" customHeight="false" outlineLevel="0" collapsed="false">
      <c r="A75" s="7" t="s">
        <v>336</v>
      </c>
      <c r="B75" s="2" t="s">
        <v>155</v>
      </c>
      <c r="E75" s="14" t="n">
        <f aca="false">IF(E52=0,0,E74/E52)</f>
        <v>0.0294863401251298</v>
      </c>
      <c r="F75" s="14" t="n">
        <f aca="false">IF(F52=0,0,F74/F52)</f>
        <v>0.207394386431151</v>
      </c>
      <c r="G75" s="14" t="n">
        <f aca="false">IF(G52=0,0,G74/G52)</f>
        <v>0.286520101040842</v>
      </c>
      <c r="H75" s="14" t="n">
        <f aca="false">IF(H52=0,0,H74/H52)</f>
        <v>0.359195225919837</v>
      </c>
      <c r="I75" s="14" t="n">
        <f aca="false">IF(I52=0,0,I74/I52)</f>
        <v>0.442200094982241</v>
      </c>
      <c r="J75" s="14" t="n">
        <f aca="false">IF(J52=0,0,J74/J52)</f>
        <v>0.480791691434006</v>
      </c>
      <c r="K75" s="14" t="n">
        <f aca="false">IF(K52=0,0,K74/K52)</f>
        <v>0.50955810466196</v>
      </c>
      <c r="L75" s="14" t="n">
        <f aca="false">IF(L52=0,0,L74/L52)</f>
        <v>0.533396218685395</v>
      </c>
      <c r="M75" s="14" t="n">
        <f aca="false">IF(M52=0,0,M74/M52)</f>
        <v>0.543794330590317</v>
      </c>
      <c r="N75" s="14" t="n">
        <f aca="false">IF(N52=0,0,N74/N52)</f>
        <v>0.551308753765199</v>
      </c>
    </row>
    <row r="76" customFormat="false" ht="15" hidden="false" customHeight="false" outlineLevel="0" collapsed="false">
      <c r="A76" s="3" t="s">
        <v>337</v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customFormat="false" ht="15" hidden="false" customHeight="false" outlineLevel="0" collapsed="false">
      <c r="A77" s="7" t="s">
        <v>338</v>
      </c>
      <c r="B77" s="2" t="s">
        <v>160</v>
      </c>
      <c r="E77" s="44" t="n">
        <f aca="false">Inputs!$B$32</f>
        <v>0.5</v>
      </c>
      <c r="F77" s="44" t="n">
        <f aca="false">1</f>
        <v>1</v>
      </c>
      <c r="G77" s="44" t="n">
        <f aca="false">1</f>
        <v>1</v>
      </c>
      <c r="H77" s="44" t="n">
        <f aca="false">1</f>
        <v>1</v>
      </c>
      <c r="I77" s="44" t="n">
        <f aca="false">1</f>
        <v>1</v>
      </c>
      <c r="J77" s="44" t="n">
        <f aca="false">1</f>
        <v>1</v>
      </c>
      <c r="K77" s="44" t="n">
        <f aca="false">1</f>
        <v>1</v>
      </c>
      <c r="L77" s="44" t="n">
        <f aca="false">1</f>
        <v>1</v>
      </c>
      <c r="M77" s="44" t="n">
        <f aca="false">1</f>
        <v>1</v>
      </c>
      <c r="N77" s="44" t="n">
        <f aca="false">1</f>
        <v>1</v>
      </c>
    </row>
    <row r="78" customFormat="false" ht="15" hidden="false" customHeight="false" outlineLevel="0" collapsed="false">
      <c r="A78" s="7" t="s">
        <v>339</v>
      </c>
      <c r="B78" s="2" t="s">
        <v>340</v>
      </c>
      <c r="E78" s="46" t="n">
        <f aca="false">Inputs!$B$33</f>
        <v>0</v>
      </c>
      <c r="F78" s="46" t="n">
        <f aca="false">Inputs!$B$7+0.5</f>
        <v>0.71</v>
      </c>
      <c r="G78" s="46" t="n">
        <f aca="false">F78+1</f>
        <v>1.71</v>
      </c>
      <c r="H78" s="46" t="n">
        <f aca="false">G78+1</f>
        <v>2.71</v>
      </c>
      <c r="I78" s="46" t="n">
        <f aca="false">H78+1</f>
        <v>3.71</v>
      </c>
      <c r="J78" s="46" t="n">
        <f aca="false">I78+1</f>
        <v>4.71</v>
      </c>
      <c r="K78" s="46" t="n">
        <f aca="false">J78+1</f>
        <v>5.71</v>
      </c>
      <c r="L78" s="46" t="n">
        <f aca="false">K78+1</f>
        <v>6.71</v>
      </c>
      <c r="M78" s="46" t="n">
        <f aca="false">L78+1</f>
        <v>7.71</v>
      </c>
      <c r="N78" s="46" t="n">
        <f aca="false">M78+1</f>
        <v>8.71</v>
      </c>
    </row>
    <row r="79" customFormat="false" ht="15" hidden="false" customHeight="false" outlineLevel="0" collapsed="false">
      <c r="A79" s="7" t="s">
        <v>341</v>
      </c>
      <c r="B79" s="2" t="s">
        <v>160</v>
      </c>
      <c r="E79" s="47" t="n">
        <f aca="false">1/(1+Inputs!$B$24)^E78</f>
        <v>1</v>
      </c>
      <c r="F79" s="47" t="n">
        <f aca="false">1/(1+Inputs!$B$24)^F78</f>
        <v>0.92286714597987</v>
      </c>
      <c r="G79" s="47" t="n">
        <f aca="false">1/(1+Inputs!$B$24)^G78</f>
        <v>0.824212974050853</v>
      </c>
      <c r="H79" s="47" t="n">
        <f aca="false">1/(1+Inputs!$B$24)^H78</f>
        <v>0.736104898254304</v>
      </c>
      <c r="I79" s="47" t="n">
        <f aca="false">1/(1+Inputs!$B$24)^I78</f>
        <v>0.657415544638767</v>
      </c>
      <c r="J79" s="47" t="n">
        <f aca="false">1/(1+Inputs!$B$24)^J78</f>
        <v>0.587138055129984</v>
      </c>
      <c r="K79" s="47" t="n">
        <f aca="false">1/(1+Inputs!$B$24)^K78</f>
        <v>0.524373204426191</v>
      </c>
      <c r="L79" s="47" t="n">
        <f aca="false">1/(1+Inputs!$B$24)^L78</f>
        <v>0.468317894092758</v>
      </c>
      <c r="M79" s="47" t="n">
        <f aca="false">1/(1+Inputs!$B$24)^M78</f>
        <v>0.418254876634046</v>
      </c>
      <c r="N79" s="47" t="n">
        <f aca="false">1/(1+Inputs!$B$24)^N78</f>
        <v>0.373543578058352</v>
      </c>
    </row>
    <row r="80" customFormat="false" ht="15" hidden="false" customHeight="false" outlineLevel="0" collapsed="false">
      <c r="A80" s="7" t="s">
        <v>342</v>
      </c>
      <c r="B80" s="2" t="s">
        <v>147</v>
      </c>
      <c r="E80" s="19" t="n">
        <f aca="false">E74*E77*E79</f>
        <v>10.85840968</v>
      </c>
      <c r="F80" s="19" t="n">
        <f aca="false">F74*F77*F79</f>
        <v>206.898147843606</v>
      </c>
      <c r="G80" s="19" t="n">
        <f aca="false">G74*G77*G79</f>
        <v>380.366086895404</v>
      </c>
      <c r="H80" s="19" t="n">
        <f aca="false">H74*H77*H79</f>
        <v>534.691396333309</v>
      </c>
      <c r="I80" s="19" t="n">
        <f aca="false">I74*I77*I79</f>
        <v>705.441010017702</v>
      </c>
      <c r="J80" s="19" t="n">
        <f aca="false">J74*J77*J79</f>
        <v>800.696487696156</v>
      </c>
      <c r="K80" s="19" t="n">
        <f aca="false">K74*K77*K79</f>
        <v>858.91925668293</v>
      </c>
      <c r="L80" s="19" t="n">
        <f aca="false">L74*L77*L79</f>
        <v>899.056344890428</v>
      </c>
      <c r="M80" s="19" t="n">
        <f aca="false">M74*M77*M79</f>
        <v>889.927765272682</v>
      </c>
      <c r="N80" s="19" t="n">
        <f aca="false">N74*N77*N79</f>
        <v>866.709000716988</v>
      </c>
    </row>
    <row r="82" customFormat="false" ht="15" hidden="false" customHeight="false" outlineLevel="0" collapsed="false">
      <c r="A82" s="7" t="s">
        <v>343</v>
      </c>
      <c r="D82" s="19" t="n">
        <f aca="false">SUM(E80:N80)</f>
        <v>6153.56390602921</v>
      </c>
    </row>
    <row r="83" customFormat="false" ht="15" hidden="false" customHeight="false" outlineLevel="0" collapsed="false">
      <c r="A83" s="7" t="s">
        <v>344</v>
      </c>
      <c r="D83" s="19" t="n">
        <f aca="false">N74*(1+Inputs!$B$25)</f>
        <v>2413.04472541317</v>
      </c>
    </row>
    <row r="84" customFormat="false" ht="15" hidden="false" customHeight="false" outlineLevel="0" collapsed="false">
      <c r="A84" s="7" t="s">
        <v>345</v>
      </c>
      <c r="D84" s="19" t="n">
        <f aca="false">D83/(Inputs!$B$24-Inputs!$B$25)</f>
        <v>30278.495833028</v>
      </c>
    </row>
    <row r="85" customFormat="false" ht="15" hidden="false" customHeight="false" outlineLevel="0" collapsed="false">
      <c r="A85" s="7" t="s">
        <v>346</v>
      </c>
      <c r="D85" s="19" t="n">
        <f aca="false">D84/(1+Inputs!$B$24)^N78</f>
        <v>11310.3376716942</v>
      </c>
      <c r="E85" s="2" t="s">
        <v>347</v>
      </c>
    </row>
    <row r="86" customFormat="false" ht="15" hidden="false" customHeight="false" outlineLevel="0" collapsed="false">
      <c r="A86" s="9" t="s">
        <v>348</v>
      </c>
      <c r="D86" s="43" t="n">
        <f aca="false">D82+D85</f>
        <v>17463.9015777234</v>
      </c>
    </row>
    <row r="87" customFormat="false" ht="15" hidden="false" customHeight="false" outlineLevel="0" collapsed="false">
      <c r="A87" s="7" t="s">
        <v>349</v>
      </c>
      <c r="D87" s="14" t="n">
        <f aca="false">D85/D86</f>
        <v>0.647640942166178</v>
      </c>
    </row>
    <row r="88" customFormat="false" ht="15" hidden="false" customHeight="false" outlineLevel="0" collapsed="false">
      <c r="A88" s="7" t="s">
        <v>350</v>
      </c>
      <c r="D88" s="48" t="n">
        <f aca="false">D84/N52</f>
        <v>7.19444261140357</v>
      </c>
    </row>
    <row r="89" customFormat="false" ht="15" hidden="false" customHeight="false" outlineLevel="0" collapsed="false">
      <c r="A89" s="7" t="s">
        <v>351</v>
      </c>
      <c r="D89" s="48" t="n">
        <f aca="false">D84/(N52-N57)</f>
        <v>8.14582188514024</v>
      </c>
    </row>
    <row r="91" customFormat="false" ht="15" hidden="false" customHeight="false" outlineLevel="0" collapsed="false">
      <c r="A91" s="49" t="s">
        <v>352</v>
      </c>
    </row>
    <row r="92" customFormat="false" ht="15" hidden="false" customHeight="false" outlineLevel="0" collapsed="false">
      <c r="A92" s="7" t="s">
        <v>353</v>
      </c>
      <c r="D92" s="19" t="n">
        <f aca="false">H35</f>
        <v>850</v>
      </c>
    </row>
    <row r="93" customFormat="false" ht="15" hidden="false" customHeight="false" outlineLevel="0" collapsed="false">
      <c r="A93" s="7" t="s">
        <v>354</v>
      </c>
      <c r="D93" s="19" t="n">
        <f aca="false">H35*H38</f>
        <v>229.5</v>
      </c>
    </row>
    <row r="94" customFormat="false" ht="15" hidden="false" customHeight="false" outlineLevel="0" collapsed="false">
      <c r="A94" s="7" t="s">
        <v>355</v>
      </c>
      <c r="D94" s="19" t="n">
        <f aca="false">Inputs!$B$55*Inputs!$B$53*D93+(1-Inputs!$B$55)*Inputs!$B$54*D92</f>
        <v>2768.875</v>
      </c>
    </row>
    <row r="95" customFormat="false" ht="15" hidden="false" customHeight="false" outlineLevel="0" collapsed="false">
      <c r="A95" s="7" t="s">
        <v>356</v>
      </c>
      <c r="D95" s="19" t="n">
        <f aca="false">MIN(MAX(D94,Inputs!$B$56),Inputs!$B$57)</f>
        <v>2768.875</v>
      </c>
    </row>
    <row r="96" customFormat="false" ht="15" hidden="false" customHeight="false" outlineLevel="0" collapsed="false">
      <c r="A96" s="7" t="s">
        <v>357</v>
      </c>
      <c r="D96" s="19" t="n">
        <f aca="false">D95*Inputs!$B$52</f>
        <v>1107.55</v>
      </c>
    </row>
    <row r="97" customFormat="false" ht="15" hidden="false" customHeight="false" outlineLevel="0" collapsed="false">
      <c r="A97" s="7" t="s">
        <v>358</v>
      </c>
      <c r="D97" s="19" t="n">
        <f aca="false">D96/(1+Inputs!$B$24)^Inputs!C62</f>
        <v>788.976603660077</v>
      </c>
    </row>
    <row r="99" customFormat="false" ht="15" hidden="false" customHeight="false" outlineLevel="0" collapsed="false">
      <c r="A99" s="49" t="s">
        <v>359</v>
      </c>
    </row>
    <row r="100" customFormat="false" ht="15" hidden="false" customHeight="false" outlineLevel="0" collapsed="false">
      <c r="A100" s="7" t="s">
        <v>360</v>
      </c>
      <c r="D100" s="19" t="n">
        <f aca="false">Inputs!$B$39</f>
        <v>5400</v>
      </c>
    </row>
    <row r="101" customFormat="false" ht="15" hidden="false" customHeight="false" outlineLevel="0" collapsed="false">
      <c r="A101" s="7" t="s">
        <v>361</v>
      </c>
      <c r="D101" s="19" t="n">
        <f aca="false">-MAX(Inputs!$B$40-Inputs!$B$41,0)</f>
        <v>-348</v>
      </c>
    </row>
    <row r="102" customFormat="false" ht="15" hidden="false" customHeight="false" outlineLevel="0" collapsed="false">
      <c r="A102" s="7" t="s">
        <v>362</v>
      </c>
      <c r="D102" s="19" t="n">
        <f aca="false">-Inputs!$B$42</f>
        <v>-437</v>
      </c>
    </row>
    <row r="103" customFormat="false" ht="15" hidden="false" customHeight="false" outlineLevel="0" collapsed="false">
      <c r="A103" s="7" t="s">
        <v>363</v>
      </c>
      <c r="D103" s="19" t="n">
        <f aca="false">Inputs!$B$43</f>
        <v>70</v>
      </c>
    </row>
    <row r="104" customFormat="false" ht="15" hidden="false" customHeight="false" outlineLevel="0" collapsed="false">
      <c r="A104" s="7" t="s">
        <v>364</v>
      </c>
      <c r="D104" s="19" t="n">
        <f aca="false">-Inputs!$B$44</f>
        <v>-600</v>
      </c>
    </row>
    <row r="105" customFormat="false" ht="15" hidden="false" customHeight="false" outlineLevel="0" collapsed="false">
      <c r="A105" s="7" t="s">
        <v>365</v>
      </c>
      <c r="D105" s="19" t="n">
        <f aca="false">-(Inputs!$B$45+Inputs!$B$46)</f>
        <v>-425</v>
      </c>
    </row>
    <row r="106" customFormat="false" ht="15" hidden="false" customHeight="false" outlineLevel="0" collapsed="false">
      <c r="A106" s="7" t="s">
        <v>366</v>
      </c>
      <c r="D106" s="19" t="n">
        <f aca="false">-(Inputs!$B$47-Inputs!$B$48)</f>
        <v>-1230</v>
      </c>
    </row>
    <row r="107" customFormat="false" ht="15" hidden="false" customHeight="false" outlineLevel="0" collapsed="false">
      <c r="A107" s="7" t="s">
        <v>367</v>
      </c>
      <c r="D107" s="19" t="n">
        <f aca="false">-D97</f>
        <v>-788.976603660077</v>
      </c>
    </row>
    <row r="108" customFormat="false" ht="15" hidden="false" customHeight="false" outlineLevel="0" collapsed="false">
      <c r="A108" s="9" t="s">
        <v>368</v>
      </c>
      <c r="D108" s="43" t="n">
        <f aca="false">SUM(D100:D107)</f>
        <v>1641.02339633992</v>
      </c>
    </row>
    <row r="109" customFormat="false" ht="15" hidden="false" customHeight="false" outlineLevel="0" collapsed="false">
      <c r="A109" s="9" t="s">
        <v>369</v>
      </c>
      <c r="D109" s="43" t="n">
        <f aca="false">D86+D108</f>
        <v>19104.9249740633</v>
      </c>
    </row>
    <row r="110" customFormat="false" ht="15" hidden="false" customHeight="false" outlineLevel="0" collapsed="false">
      <c r="A110" s="7" t="s">
        <v>370</v>
      </c>
      <c r="D110" s="19" t="n">
        <f aca="false">Inputs!$B$8+Inputs!$B$9</f>
        <v>4162</v>
      </c>
    </row>
    <row r="111" customFormat="false" ht="15" hidden="false" customHeight="false" outlineLevel="0" collapsed="false">
      <c r="A111" s="7" t="s">
        <v>371</v>
      </c>
      <c r="D111" s="13" t="n">
        <f aca="false">D109/D110</f>
        <v>4.59032315570959</v>
      </c>
    </row>
    <row r="112" customFormat="false" ht="15" hidden="false" customHeight="false" outlineLevel="0" collapsed="false">
      <c r="A112" s="7" t="s">
        <v>372</v>
      </c>
      <c r="D112" s="13" t="n">
        <f aca="false">(D109+Inputs!$B$10)/(D110+Inputs!$B$12)</f>
        <v>4.69252770513349</v>
      </c>
    </row>
    <row r="113" customFormat="false" ht="15" hidden="false" customHeight="false" outlineLevel="0" collapsed="false">
      <c r="A113" s="9" t="s">
        <v>12</v>
      </c>
      <c r="D113" s="11" t="n">
        <f aca="false">IF(D111&gt;Inputs!$B$11,D112,D111)</f>
        <v>4.59032315570959</v>
      </c>
      <c r="E113" s="2" t="s">
        <v>373</v>
      </c>
    </row>
    <row r="114" customFormat="false" ht="15" hidden="false" customHeight="false" outlineLevel="0" collapsed="false">
      <c r="A114" s="9" t="s">
        <v>374</v>
      </c>
      <c r="D114" s="50" t="n">
        <f aca="false">D113/Inputs!$B$6-1</f>
        <v>0.572028477982736</v>
      </c>
    </row>
    <row r="115" customFormat="false" ht="15" hidden="false" customHeight="false" outlineLevel="0" collapsed="false">
      <c r="A115" s="7" t="s">
        <v>375</v>
      </c>
      <c r="D115" s="13" t="n">
        <f aca="false">D113*(1+Inputs!$B$20)</f>
        <v>5.15722806543972</v>
      </c>
    </row>
    <row r="117" customFormat="false" ht="15" hidden="false" customHeight="false" outlineLevel="0" collapsed="false">
      <c r="A117" s="49" t="s">
        <v>376</v>
      </c>
    </row>
    <row r="118" customFormat="false" ht="15" hidden="false" customHeight="false" outlineLevel="0" collapsed="false">
      <c r="A118" s="7" t="s">
        <v>377</v>
      </c>
      <c r="D118" s="19" t="n">
        <f aca="false">F11+F20+F29</f>
        <v>1443.4414136</v>
      </c>
    </row>
    <row r="119" customFormat="false" ht="15" hidden="false" customHeight="false" outlineLevel="0" collapsed="false">
      <c r="A119" s="7" t="s">
        <v>378</v>
      </c>
      <c r="D119" s="19" t="n">
        <f aca="false">-F50*Inputs!C65</f>
        <v>-393.79956</v>
      </c>
    </row>
    <row r="120" customFormat="false" ht="15" hidden="false" customHeight="false" outlineLevel="0" collapsed="false">
      <c r="A120" s="7" t="s">
        <v>379</v>
      </c>
      <c r="D120" s="19" t="n">
        <f aca="false">D118+D119</f>
        <v>1049.6418536</v>
      </c>
    </row>
    <row r="121" customFormat="false" ht="15" hidden="false" customHeight="false" outlineLevel="0" collapsed="false">
      <c r="A121" s="7" t="s">
        <v>380</v>
      </c>
      <c r="D121" s="48" t="n">
        <f aca="false">Inputs!C63</f>
        <v>13</v>
      </c>
    </row>
    <row r="122" customFormat="false" ht="15" hidden="false" customHeight="false" outlineLevel="0" collapsed="false">
      <c r="A122" s="7" t="s">
        <v>381</v>
      </c>
      <c r="D122" s="19" t="n">
        <f aca="false">D120*D121</f>
        <v>13645.3440968</v>
      </c>
    </row>
    <row r="123" customFormat="false" ht="15" hidden="false" customHeight="false" outlineLevel="0" collapsed="false">
      <c r="A123" s="7" t="s">
        <v>382</v>
      </c>
      <c r="D123" s="19" t="n">
        <f aca="false">G41-G50*(1-Inputs!C65)</f>
        <v>274.7567088</v>
      </c>
    </row>
    <row r="124" customFormat="false" ht="15" hidden="false" customHeight="false" outlineLevel="0" collapsed="false">
      <c r="A124" s="7" t="s">
        <v>380</v>
      </c>
      <c r="D124" s="48" t="n">
        <f aca="false">Inputs!C64</f>
        <v>10</v>
      </c>
    </row>
    <row r="125" customFormat="false" ht="15" hidden="false" customHeight="false" outlineLevel="0" collapsed="false">
      <c r="A125" s="7" t="s">
        <v>383</v>
      </c>
      <c r="D125" s="19" t="n">
        <f aca="false">D123*D124/(1+Inputs!$B$20)</f>
        <v>2445.54257943925</v>
      </c>
    </row>
    <row r="126" customFormat="false" ht="15" hidden="false" customHeight="false" outlineLevel="0" collapsed="false">
      <c r="A126" s="9" t="s">
        <v>384</v>
      </c>
      <c r="D126" s="43" t="n">
        <f aca="false">D122+D125</f>
        <v>16090.8866762393</v>
      </c>
    </row>
    <row r="127" customFormat="false" ht="15" hidden="false" customHeight="false" outlineLevel="0" collapsed="false">
      <c r="A127" s="7" t="s">
        <v>385</v>
      </c>
      <c r="D127" s="19" t="n">
        <f aca="false">D126+D108</f>
        <v>17731.9100725792</v>
      </c>
    </row>
    <row r="128" customFormat="false" ht="15" hidden="false" customHeight="false" outlineLevel="0" collapsed="false">
      <c r="A128" s="9" t="s">
        <v>13</v>
      </c>
      <c r="D128" s="11" t="n">
        <f aca="false">IF(D127/D110&gt;Inputs!$B$11,(D127+Inputs!$B$10)/(D110+Inputs!$B$12),D127/D110)</f>
        <v>4.26043009913003</v>
      </c>
    </row>
    <row r="129" customFormat="false" ht="15" hidden="false" customHeight="false" outlineLevel="0" collapsed="false">
      <c r="A129" s="7" t="s">
        <v>374</v>
      </c>
      <c r="D129" s="14" t="n">
        <f aca="false">D128/Inputs!$B$6-1</f>
        <v>0.459051403811654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6"/>
    <col collapsed="false" customWidth="true" hidden="false" outlineLevel="0" max="14" min="3" style="0" width="10"/>
    <col collapsed="false" customWidth="true" hidden="false" outlineLevel="0" max="15" min="15" style="0" width="60"/>
  </cols>
  <sheetData>
    <row r="1" customFormat="false" ht="17.35" hidden="false" customHeight="false" outlineLevel="0" collapsed="false">
      <c r="A1" s="1" t="s">
        <v>386</v>
      </c>
    </row>
    <row r="2" customFormat="false" ht="15" hidden="false" customHeight="false" outlineLevel="0" collapsed="false">
      <c r="A2" s="2" t="s">
        <v>286</v>
      </c>
    </row>
    <row r="4" customFormat="false" ht="15" hidden="false" customHeight="false" outlineLevel="0" collapsed="false">
      <c r="A4" s="5" t="s">
        <v>74</v>
      </c>
      <c r="B4" s="6" t="s">
        <v>133</v>
      </c>
      <c r="C4" s="6" t="s">
        <v>39</v>
      </c>
      <c r="D4" s="6" t="s">
        <v>40</v>
      </c>
      <c r="E4" s="6" t="s">
        <v>41</v>
      </c>
      <c r="F4" s="6" t="s">
        <v>42</v>
      </c>
      <c r="G4" s="6" t="s">
        <v>43</v>
      </c>
      <c r="H4" s="6" t="s">
        <v>44</v>
      </c>
      <c r="I4" s="6" t="s">
        <v>45</v>
      </c>
      <c r="J4" s="6" t="s">
        <v>233</v>
      </c>
      <c r="K4" s="6" t="s">
        <v>234</v>
      </c>
      <c r="L4" s="6" t="s">
        <v>235</v>
      </c>
      <c r="M4" s="6" t="s">
        <v>236</v>
      </c>
      <c r="N4" s="6" t="s">
        <v>237</v>
      </c>
      <c r="O4" s="6" t="s">
        <v>220</v>
      </c>
    </row>
    <row r="5" customFormat="false" ht="15" hidden="false" customHeight="false" outlineLevel="0" collapsed="false">
      <c r="A5" s="3" t="s">
        <v>287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customFormat="false" ht="15" hidden="false" customHeight="false" outlineLevel="0" collapsed="false">
      <c r="A6" s="7" t="s">
        <v>84</v>
      </c>
      <c r="B6" s="2" t="s">
        <v>147</v>
      </c>
      <c r="C6" s="8" t="n">
        <f aca="false">Historicals!B9</f>
        <v>11723</v>
      </c>
      <c r="D6" s="8" t="n">
        <f aca="false">Historicals!C9</f>
        <v>14236</v>
      </c>
      <c r="E6" s="19" t="n">
        <f aca="false">D6*(1+E7)</f>
        <v>17439.1</v>
      </c>
      <c r="F6" s="19" t="n">
        <f aca="false">E6*(1+F7)</f>
        <v>20752.529</v>
      </c>
      <c r="G6" s="19" t="n">
        <f aca="false">F6*(1+G7)</f>
        <v>24280.45893</v>
      </c>
      <c r="H6" s="19" t="n">
        <f aca="false">G6*(1+H7)</f>
        <v>27922.5277695</v>
      </c>
      <c r="I6" s="19" t="n">
        <f aca="false">H6*(1+I7)</f>
        <v>31552.456379535</v>
      </c>
      <c r="J6" s="19" t="n">
        <f aca="false">I6*(1+J7)</f>
        <v>35338.7511450792</v>
      </c>
      <c r="K6" s="19" t="n">
        <f aca="false">J6*(1+K7)</f>
        <v>39226.0137710379</v>
      </c>
      <c r="L6" s="19" t="n">
        <f aca="false">K6*(1+L7)</f>
        <v>43148.6151481417</v>
      </c>
      <c r="M6" s="19" t="n">
        <f aca="false">L6*(1+M7)</f>
        <v>47031.9905114745</v>
      </c>
      <c r="N6" s="19" t="n">
        <f aca="false">M6*(1+N7)</f>
        <v>50794.5497523924</v>
      </c>
    </row>
    <row r="7" customFormat="false" ht="15" hidden="false" customHeight="false" outlineLevel="0" collapsed="false">
      <c r="A7" s="7" t="s">
        <v>48</v>
      </c>
      <c r="B7" s="2" t="s">
        <v>155</v>
      </c>
      <c r="D7" s="14" t="n">
        <f aca="false">D6/C6-1</f>
        <v>0.214364923654355</v>
      </c>
      <c r="E7" s="15" t="n">
        <f aca="false">Inputs!E71</f>
        <v>0.225</v>
      </c>
      <c r="F7" s="15" t="n">
        <f aca="false">Inputs!F71</f>
        <v>0.19</v>
      </c>
      <c r="G7" s="15" t="n">
        <f aca="false">Inputs!G71</f>
        <v>0.17</v>
      </c>
      <c r="H7" s="15" t="n">
        <f aca="false">Inputs!H71</f>
        <v>0.15</v>
      </c>
      <c r="I7" s="15" t="n">
        <f aca="false">Inputs!I71</f>
        <v>0.13</v>
      </c>
      <c r="J7" s="15" t="n">
        <f aca="false">Inputs!J71</f>
        <v>0.12</v>
      </c>
      <c r="K7" s="15" t="n">
        <f aca="false">Inputs!K71</f>
        <v>0.11</v>
      </c>
      <c r="L7" s="15" t="n">
        <f aca="false">Inputs!L71</f>
        <v>0.1</v>
      </c>
      <c r="M7" s="15" t="n">
        <f aca="false">Inputs!M71</f>
        <v>0.09</v>
      </c>
      <c r="N7" s="15" t="n">
        <f aca="false">Inputs!N71</f>
        <v>0.08</v>
      </c>
    </row>
    <row r="8" customFormat="false" ht="15" hidden="false" customHeight="false" outlineLevel="0" collapsed="false">
      <c r="A8" s="7" t="s">
        <v>288</v>
      </c>
      <c r="B8" s="2" t="s">
        <v>155</v>
      </c>
      <c r="C8" s="26" t="n">
        <f aca="false">C9/C6</f>
        <v>0.127356478717052</v>
      </c>
      <c r="D8" s="26" t="n">
        <f aca="false">D9/D6</f>
        <v>0.126440011239112</v>
      </c>
      <c r="E8" s="40" t="n">
        <f aca="false">Inputs!E74</f>
        <v>0.1255</v>
      </c>
      <c r="F8" s="40" t="n">
        <f aca="false">Inputs!F74</f>
        <v>0.128</v>
      </c>
      <c r="G8" s="40" t="n">
        <f aca="false">Inputs!G74</f>
        <v>0.13</v>
      </c>
      <c r="H8" s="40" t="n">
        <f aca="false">Inputs!H74</f>
        <v>0.131</v>
      </c>
      <c r="I8" s="40" t="n">
        <f aca="false">Inputs!I74</f>
        <v>0.132</v>
      </c>
      <c r="J8" s="40" t="n">
        <f aca="false">Inputs!J74</f>
        <v>0.133</v>
      </c>
      <c r="K8" s="40" t="n">
        <f aca="false">Inputs!K74</f>
        <v>0.133</v>
      </c>
      <c r="L8" s="40" t="n">
        <f aca="false">Inputs!L74</f>
        <v>0.133</v>
      </c>
      <c r="M8" s="40" t="n">
        <f aca="false">Inputs!M74</f>
        <v>0.133</v>
      </c>
      <c r="N8" s="40" t="n">
        <f aca="false">Inputs!N74</f>
        <v>0.133</v>
      </c>
    </row>
    <row r="9" customFormat="false" ht="15" hidden="false" customHeight="false" outlineLevel="0" collapsed="false">
      <c r="A9" s="7" t="s">
        <v>85</v>
      </c>
      <c r="B9" s="2" t="s">
        <v>147</v>
      </c>
      <c r="C9" s="8" t="n">
        <f aca="false">Historicals!B10</f>
        <v>1493</v>
      </c>
      <c r="D9" s="8" t="n">
        <f aca="false">Historicals!C10</f>
        <v>1800</v>
      </c>
      <c r="E9" s="19" t="n">
        <f aca="false">E6*E8</f>
        <v>2188.60705</v>
      </c>
      <c r="F9" s="19" t="n">
        <f aca="false">F6*F8</f>
        <v>2656.323712</v>
      </c>
      <c r="G9" s="19" t="n">
        <f aca="false">G6*G8</f>
        <v>3156.4596609</v>
      </c>
      <c r="H9" s="19" t="n">
        <f aca="false">H6*H8</f>
        <v>3657.8511378045</v>
      </c>
      <c r="I9" s="19" t="n">
        <f aca="false">I6*I8</f>
        <v>4164.92424209862</v>
      </c>
      <c r="J9" s="19" t="n">
        <f aca="false">J6*J8</f>
        <v>4700.05390229553</v>
      </c>
      <c r="K9" s="19" t="n">
        <f aca="false">K6*K8</f>
        <v>5217.05983154804</v>
      </c>
      <c r="L9" s="19" t="n">
        <f aca="false">L6*L8</f>
        <v>5738.76581470285</v>
      </c>
      <c r="M9" s="19" t="n">
        <f aca="false">M6*M8</f>
        <v>6255.25473802611</v>
      </c>
      <c r="N9" s="19" t="n">
        <f aca="false">N6*N8</f>
        <v>6755.67511706819</v>
      </c>
    </row>
    <row r="10" customFormat="false" ht="15" hidden="false" customHeight="false" outlineLevel="0" collapsed="false">
      <c r="A10" s="7" t="s">
        <v>289</v>
      </c>
      <c r="B10" s="2" t="s">
        <v>155</v>
      </c>
      <c r="C10" s="26" t="n">
        <f aca="false">C11/C6</f>
        <v>0.0167192698114817</v>
      </c>
      <c r="D10" s="26" t="n">
        <f aca="false">D11/D6</f>
        <v>0.0201601573475695</v>
      </c>
      <c r="E10" s="40" t="n">
        <f aca="false">Inputs!E77</f>
        <v>0.0225</v>
      </c>
      <c r="F10" s="40" t="n">
        <f aca="false">Inputs!F77</f>
        <v>0.0265</v>
      </c>
      <c r="G10" s="40" t="n">
        <f aca="false">Inputs!G77</f>
        <v>0.029</v>
      </c>
      <c r="H10" s="40" t="n">
        <f aca="false">Inputs!H77</f>
        <v>0.0315</v>
      </c>
      <c r="I10" s="40" t="n">
        <f aca="false">Inputs!I77</f>
        <v>0.0335</v>
      </c>
      <c r="J10" s="40" t="n">
        <f aca="false">Inputs!J77</f>
        <v>0.035</v>
      </c>
      <c r="K10" s="40" t="n">
        <f aca="false">Inputs!K77</f>
        <v>0.0365</v>
      </c>
      <c r="L10" s="40" t="n">
        <f aca="false">Inputs!L77</f>
        <v>0.0375</v>
      </c>
      <c r="M10" s="40" t="n">
        <f aca="false">Inputs!M77</f>
        <v>0.0385</v>
      </c>
      <c r="N10" s="40" t="n">
        <f aca="false">Inputs!N77</f>
        <v>0.0385</v>
      </c>
    </row>
    <row r="11" customFormat="false" ht="15" hidden="false" customHeight="false" outlineLevel="0" collapsed="false">
      <c r="A11" s="9" t="s">
        <v>86</v>
      </c>
      <c r="B11" s="41" t="s">
        <v>147</v>
      </c>
      <c r="C11" s="42" t="n">
        <f aca="false">Historicals!B11</f>
        <v>196</v>
      </c>
      <c r="D11" s="42" t="n">
        <f aca="false">Historicals!C11</f>
        <v>287</v>
      </c>
      <c r="E11" s="43" t="n">
        <f aca="false">E6*E10</f>
        <v>392.37975</v>
      </c>
      <c r="F11" s="43" t="n">
        <f aca="false">F6*F10</f>
        <v>549.9420185</v>
      </c>
      <c r="G11" s="43" t="n">
        <f aca="false">G6*G10</f>
        <v>704.13330897</v>
      </c>
      <c r="H11" s="43" t="n">
        <f aca="false">H6*H10</f>
        <v>879.55962473925</v>
      </c>
      <c r="I11" s="43" t="n">
        <f aca="false">I6*I10</f>
        <v>1057.00728871442</v>
      </c>
      <c r="J11" s="43" t="n">
        <f aca="false">J6*J10</f>
        <v>1236.85629007777</v>
      </c>
      <c r="K11" s="43" t="n">
        <f aca="false">K6*K10</f>
        <v>1431.74950264288</v>
      </c>
      <c r="L11" s="43" t="n">
        <f aca="false">L6*L10</f>
        <v>1618.07306805531</v>
      </c>
      <c r="M11" s="43" t="n">
        <f aca="false">M6*M10</f>
        <v>1810.73163469177</v>
      </c>
      <c r="N11" s="43" t="n">
        <f aca="false">N6*N10</f>
        <v>1955.59016546711</v>
      </c>
    </row>
    <row r="12" customFormat="false" ht="15" hidden="false" customHeight="false" outlineLevel="0" collapsed="false">
      <c r="A12" s="3" t="s">
        <v>290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customFormat="false" ht="15" hidden="false" customHeight="false" outlineLevel="0" collapsed="false">
      <c r="A13" s="7" t="s">
        <v>291</v>
      </c>
      <c r="B13" s="2" t="s">
        <v>147</v>
      </c>
      <c r="D13" s="17" t="n">
        <v>1800</v>
      </c>
      <c r="E13" s="19" t="n">
        <f aca="false">D13*(1+E14)</f>
        <v>1872</v>
      </c>
      <c r="F13" s="19" t="n">
        <f aca="false">E13*(1+F14)</f>
        <v>1872</v>
      </c>
      <c r="G13" s="19" t="n">
        <f aca="false">F13*(1+G14)</f>
        <v>2021.76</v>
      </c>
      <c r="H13" s="19" t="n">
        <f aca="false">G13*(1+H14)</f>
        <v>2163.2832</v>
      </c>
      <c r="I13" s="19" t="n">
        <f aca="false">H13*(1+I14)</f>
        <v>2293.080192</v>
      </c>
      <c r="J13" s="19" t="n">
        <f aca="false">I13*(1+J14)</f>
        <v>2407.7342016</v>
      </c>
      <c r="K13" s="19" t="n">
        <f aca="false">J13*(1+K14)</f>
        <v>2528.12091168</v>
      </c>
      <c r="L13" s="19" t="n">
        <f aca="false">K13*(1+L14)</f>
        <v>2629.2457481472</v>
      </c>
      <c r="M13" s="19" t="n">
        <f aca="false">L13*(1+M14)</f>
        <v>2734.41557807309</v>
      </c>
      <c r="N13" s="19" t="n">
        <f aca="false">M13*(1+N14)</f>
        <v>2843.79220119601</v>
      </c>
      <c r="O13" s="2" t="s">
        <v>292</v>
      </c>
    </row>
    <row r="14" customFormat="false" ht="15" hidden="false" customHeight="false" outlineLevel="0" collapsed="false">
      <c r="A14" s="7" t="s">
        <v>48</v>
      </c>
      <c r="B14" s="2" t="s">
        <v>155</v>
      </c>
      <c r="E14" s="15" t="n">
        <f aca="false">Inputs!E80</f>
        <v>0.04</v>
      </c>
      <c r="F14" s="15" t="n">
        <f aca="false">Inputs!F80</f>
        <v>0</v>
      </c>
      <c r="G14" s="15" t="n">
        <f aca="false">Inputs!G80</f>
        <v>0.08</v>
      </c>
      <c r="H14" s="15" t="n">
        <f aca="false">Inputs!H80</f>
        <v>0.07</v>
      </c>
      <c r="I14" s="15" t="n">
        <f aca="false">Inputs!I80</f>
        <v>0.06</v>
      </c>
      <c r="J14" s="15" t="n">
        <f aca="false">Inputs!J80</f>
        <v>0.05</v>
      </c>
      <c r="K14" s="15" t="n">
        <f aca="false">Inputs!K80</f>
        <v>0.05</v>
      </c>
      <c r="L14" s="15" t="n">
        <f aca="false">Inputs!L80</f>
        <v>0.04</v>
      </c>
      <c r="M14" s="15" t="n">
        <f aca="false">Inputs!M80</f>
        <v>0.04</v>
      </c>
      <c r="N14" s="15" t="n">
        <f aca="false">Inputs!N80</f>
        <v>0.04</v>
      </c>
    </row>
    <row r="15" customFormat="false" ht="15" hidden="false" customHeight="false" outlineLevel="0" collapsed="false">
      <c r="A15" s="7" t="s">
        <v>293</v>
      </c>
      <c r="B15" s="2" t="s">
        <v>160</v>
      </c>
      <c r="E15" s="44" t="n">
        <f aca="false">Inputs!E83</f>
        <v>0.25</v>
      </c>
      <c r="F15" s="44" t="n">
        <f aca="false">Inputs!F83</f>
        <v>1</v>
      </c>
      <c r="G15" s="44" t="n">
        <f aca="false">Inputs!G83</f>
        <v>1</v>
      </c>
      <c r="H15" s="44" t="n">
        <f aca="false">Inputs!H83</f>
        <v>1</v>
      </c>
      <c r="I15" s="44" t="n">
        <f aca="false">Inputs!I83</f>
        <v>1</v>
      </c>
      <c r="J15" s="44" t="n">
        <f aca="false">Inputs!J83</f>
        <v>1</v>
      </c>
      <c r="K15" s="44" t="n">
        <f aca="false">Inputs!K83</f>
        <v>1</v>
      </c>
      <c r="L15" s="44" t="n">
        <f aca="false">Inputs!L83</f>
        <v>1</v>
      </c>
      <c r="M15" s="44" t="n">
        <f aca="false">Inputs!M83</f>
        <v>1</v>
      </c>
      <c r="N15" s="44" t="n">
        <f aca="false">Inputs!N83</f>
        <v>1</v>
      </c>
    </row>
    <row r="16" customFormat="false" ht="15" hidden="false" customHeight="false" outlineLevel="0" collapsed="false">
      <c r="A16" s="7" t="s">
        <v>294</v>
      </c>
      <c r="B16" s="2" t="s">
        <v>147</v>
      </c>
      <c r="E16" s="19" t="n">
        <f aca="false">E13*E15</f>
        <v>468</v>
      </c>
      <c r="F16" s="19" t="n">
        <f aca="false">F13*F15</f>
        <v>1872</v>
      </c>
      <c r="G16" s="19" t="n">
        <f aca="false">G13*G15</f>
        <v>2021.76</v>
      </c>
      <c r="H16" s="19" t="n">
        <f aca="false">H13*H15</f>
        <v>2163.2832</v>
      </c>
      <c r="I16" s="19" t="n">
        <f aca="false">I13*I15</f>
        <v>2293.080192</v>
      </c>
      <c r="J16" s="19" t="n">
        <f aca="false">J13*J15</f>
        <v>2407.7342016</v>
      </c>
      <c r="K16" s="19" t="n">
        <f aca="false">K13*K15</f>
        <v>2528.12091168</v>
      </c>
      <c r="L16" s="19" t="n">
        <f aca="false">L13*L15</f>
        <v>2629.2457481472</v>
      </c>
      <c r="M16" s="19" t="n">
        <f aca="false">M13*M15</f>
        <v>2734.41557807309</v>
      </c>
      <c r="N16" s="19" t="n">
        <f aca="false">N13*N15</f>
        <v>2843.79220119601</v>
      </c>
    </row>
    <row r="17" customFormat="false" ht="15" hidden="false" customHeight="false" outlineLevel="0" collapsed="false">
      <c r="A17" s="7" t="s">
        <v>295</v>
      </c>
      <c r="B17" s="2" t="s">
        <v>155</v>
      </c>
      <c r="E17" s="40" t="n">
        <f aca="false">Inputs!E86</f>
        <v>0.145</v>
      </c>
      <c r="F17" s="40" t="n">
        <f aca="false">Inputs!F86</f>
        <v>0.145</v>
      </c>
      <c r="G17" s="40" t="n">
        <f aca="false">Inputs!G86</f>
        <v>0.145</v>
      </c>
      <c r="H17" s="40" t="n">
        <f aca="false">Inputs!H86</f>
        <v>0.145</v>
      </c>
      <c r="I17" s="40" t="n">
        <f aca="false">Inputs!I86</f>
        <v>0.145</v>
      </c>
      <c r="J17" s="40" t="n">
        <f aca="false">Inputs!J86</f>
        <v>0.145</v>
      </c>
      <c r="K17" s="40" t="n">
        <f aca="false">Inputs!K86</f>
        <v>0.145</v>
      </c>
      <c r="L17" s="40" t="n">
        <f aca="false">Inputs!L86</f>
        <v>0.145</v>
      </c>
      <c r="M17" s="40" t="n">
        <f aca="false">Inputs!M86</f>
        <v>0.145</v>
      </c>
      <c r="N17" s="40" t="n">
        <f aca="false">Inputs!N86</f>
        <v>0.145</v>
      </c>
    </row>
    <row r="18" customFormat="false" ht="15" hidden="false" customHeight="false" outlineLevel="0" collapsed="false">
      <c r="A18" s="7" t="s">
        <v>296</v>
      </c>
      <c r="B18" s="2" t="s">
        <v>147</v>
      </c>
      <c r="E18" s="19" t="n">
        <f aca="false">E16*E17</f>
        <v>67.86</v>
      </c>
      <c r="F18" s="19" t="n">
        <f aca="false">F16*F17</f>
        <v>271.44</v>
      </c>
      <c r="G18" s="19" t="n">
        <f aca="false">G16*G17</f>
        <v>293.1552</v>
      </c>
      <c r="H18" s="19" t="n">
        <f aca="false">H16*H17</f>
        <v>313.676064</v>
      </c>
      <c r="I18" s="19" t="n">
        <f aca="false">I16*I17</f>
        <v>332.49662784</v>
      </c>
      <c r="J18" s="19" t="n">
        <f aca="false">J16*J17</f>
        <v>349.121459232</v>
      </c>
      <c r="K18" s="19" t="n">
        <f aca="false">K16*K17</f>
        <v>366.5775321936</v>
      </c>
      <c r="L18" s="19" t="n">
        <f aca="false">L16*L17</f>
        <v>381.240633481344</v>
      </c>
      <c r="M18" s="19" t="n">
        <f aca="false">M16*M17</f>
        <v>396.490258820598</v>
      </c>
      <c r="N18" s="19" t="n">
        <f aca="false">N16*N17</f>
        <v>412.349869173422</v>
      </c>
    </row>
    <row r="19" customFormat="false" ht="15" hidden="false" customHeight="false" outlineLevel="0" collapsed="false">
      <c r="A19" s="7" t="s">
        <v>297</v>
      </c>
      <c r="B19" s="2" t="s">
        <v>155</v>
      </c>
      <c r="E19" s="40" t="n">
        <f aca="false">Inputs!E89</f>
        <v>0.005</v>
      </c>
      <c r="F19" s="40" t="n">
        <f aca="false">Inputs!F89</f>
        <v>0.015</v>
      </c>
      <c r="G19" s="40" t="n">
        <f aca="false">Inputs!G89</f>
        <v>0.038</v>
      </c>
      <c r="H19" s="40" t="n">
        <f aca="false">Inputs!H89</f>
        <v>0.042</v>
      </c>
      <c r="I19" s="40" t="n">
        <f aca="false">Inputs!I89</f>
        <v>0.044</v>
      </c>
      <c r="J19" s="40" t="n">
        <f aca="false">Inputs!J89</f>
        <v>0.045</v>
      </c>
      <c r="K19" s="40" t="n">
        <f aca="false">Inputs!K89</f>
        <v>0.045</v>
      </c>
      <c r="L19" s="40" t="n">
        <f aca="false">Inputs!L89</f>
        <v>0.045</v>
      </c>
      <c r="M19" s="40" t="n">
        <f aca="false">Inputs!M89</f>
        <v>0.045</v>
      </c>
      <c r="N19" s="40" t="n">
        <f aca="false">Inputs!N89</f>
        <v>0.045</v>
      </c>
    </row>
    <row r="20" customFormat="false" ht="15" hidden="false" customHeight="false" outlineLevel="0" collapsed="false">
      <c r="A20" s="9" t="s">
        <v>298</v>
      </c>
      <c r="B20" s="41" t="s">
        <v>147</v>
      </c>
      <c r="C20" s="45"/>
      <c r="D20" s="45"/>
      <c r="E20" s="43" t="n">
        <f aca="false">E16*E19</f>
        <v>2.34</v>
      </c>
      <c r="F20" s="43" t="n">
        <f aca="false">F16*F19</f>
        <v>28.08</v>
      </c>
      <c r="G20" s="43" t="n">
        <f aca="false">G16*G19</f>
        <v>76.82688</v>
      </c>
      <c r="H20" s="43" t="n">
        <f aca="false">H16*H19</f>
        <v>90.8578944</v>
      </c>
      <c r="I20" s="43" t="n">
        <f aca="false">I16*I19</f>
        <v>100.895528448</v>
      </c>
      <c r="J20" s="43" t="n">
        <f aca="false">J16*J19</f>
        <v>108.348039072</v>
      </c>
      <c r="K20" s="43" t="n">
        <f aca="false">K16*K19</f>
        <v>113.7654410256</v>
      </c>
      <c r="L20" s="43" t="n">
        <f aca="false">L16*L19</f>
        <v>118.316058666624</v>
      </c>
      <c r="M20" s="43" t="n">
        <f aca="false">M16*M19</f>
        <v>123.048701013289</v>
      </c>
      <c r="N20" s="43" t="n">
        <f aca="false">N16*N19</f>
        <v>127.970649053821</v>
      </c>
    </row>
    <row r="21" customFormat="false" ht="15" hidden="false" customHeight="false" outlineLevel="0" collapsed="false">
      <c r="A21" s="3" t="s">
        <v>299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customFormat="false" ht="15" hidden="false" customHeight="false" outlineLevel="0" collapsed="false">
      <c r="A22" s="7" t="s">
        <v>87</v>
      </c>
      <c r="B22" s="2" t="s">
        <v>147</v>
      </c>
      <c r="C22" s="8" t="n">
        <f aca="false">Historicals!B12</f>
        <v>6640</v>
      </c>
      <c r="D22" s="8" t="n">
        <f aca="false">Historicals!C12</f>
        <v>7901</v>
      </c>
      <c r="E22" s="19" t="n">
        <f aca="false">D22*(1+E23)</f>
        <v>9441.695</v>
      </c>
      <c r="F22" s="19" t="n">
        <f aca="false">E22*(1+F23)</f>
        <v>10952.3662</v>
      </c>
      <c r="G22" s="19" t="n">
        <f aca="false">F22*(1+G23)</f>
        <v>12540.459299</v>
      </c>
      <c r="H22" s="19" t="n">
        <f aca="false">G22*(1+H23)</f>
        <v>14170.71900787</v>
      </c>
      <c r="I22" s="19" t="n">
        <f aca="false">H22*(1+I23)</f>
        <v>15871.2052888144</v>
      </c>
      <c r="J22" s="19" t="n">
        <f aca="false">I22*(1+J23)</f>
        <v>17617.037870584</v>
      </c>
      <c r="K22" s="19" t="n">
        <f aca="false">J22*(1+K23)</f>
        <v>19378.7416576424</v>
      </c>
      <c r="L22" s="19" t="n">
        <f aca="false">K22*(1+L23)</f>
        <v>21122.8284068302</v>
      </c>
      <c r="M22" s="19" t="n">
        <f aca="false">L22*(1+M23)</f>
        <v>22812.6546793766</v>
      </c>
      <c r="N22" s="19" t="n">
        <f aca="false">M22*(1+N23)</f>
        <v>24409.540506933</v>
      </c>
    </row>
    <row r="23" customFormat="false" ht="15" hidden="false" customHeight="false" outlineLevel="0" collapsed="false">
      <c r="A23" s="7" t="s">
        <v>48</v>
      </c>
      <c r="B23" s="2" t="s">
        <v>155</v>
      </c>
      <c r="D23" s="14" t="n">
        <f aca="false">D22/C22-1</f>
        <v>0.189909638554217</v>
      </c>
      <c r="E23" s="15" t="n">
        <f aca="false">Inputs!E92</f>
        <v>0.195</v>
      </c>
      <c r="F23" s="15" t="n">
        <f aca="false">Inputs!F92</f>
        <v>0.16</v>
      </c>
      <c r="G23" s="15" t="n">
        <f aca="false">Inputs!G92</f>
        <v>0.145</v>
      </c>
      <c r="H23" s="15" t="n">
        <f aca="false">Inputs!H92</f>
        <v>0.13</v>
      </c>
      <c r="I23" s="15" t="n">
        <f aca="false">Inputs!I92</f>
        <v>0.12</v>
      </c>
      <c r="J23" s="15" t="n">
        <f aca="false">Inputs!J92</f>
        <v>0.11</v>
      </c>
      <c r="K23" s="15" t="n">
        <f aca="false">Inputs!K92</f>
        <v>0.1</v>
      </c>
      <c r="L23" s="15" t="n">
        <f aca="false">Inputs!L92</f>
        <v>0.09</v>
      </c>
      <c r="M23" s="15" t="n">
        <f aca="false">Inputs!M92</f>
        <v>0.08</v>
      </c>
      <c r="N23" s="15" t="n">
        <f aca="false">Inputs!N92</f>
        <v>0.07</v>
      </c>
    </row>
    <row r="24" customFormat="false" ht="15" hidden="false" customHeight="false" outlineLevel="0" collapsed="false">
      <c r="A24" s="7" t="s">
        <v>288</v>
      </c>
      <c r="B24" s="2" t="s">
        <v>155</v>
      </c>
      <c r="C24" s="26" t="n">
        <f aca="false">C25/C22</f>
        <v>0.157680722891566</v>
      </c>
      <c r="D24" s="26" t="n">
        <f aca="false">D25/D22</f>
        <v>0.154284267814201</v>
      </c>
      <c r="E24" s="40" t="n">
        <f aca="false">Inputs!E95</f>
        <v>0.148</v>
      </c>
      <c r="F24" s="40" t="n">
        <f aca="false">Inputs!F95</f>
        <v>0.146</v>
      </c>
      <c r="G24" s="40" t="n">
        <f aca="false">Inputs!G95</f>
        <v>0.145</v>
      </c>
      <c r="H24" s="40" t="n">
        <f aca="false">Inputs!H95</f>
        <v>0.145</v>
      </c>
      <c r="I24" s="40" t="n">
        <f aca="false">Inputs!I95</f>
        <v>0.145</v>
      </c>
      <c r="J24" s="40" t="n">
        <f aca="false">Inputs!J95</f>
        <v>0.145</v>
      </c>
      <c r="K24" s="40" t="n">
        <f aca="false">Inputs!K95</f>
        <v>0.145</v>
      </c>
      <c r="L24" s="40" t="n">
        <f aca="false">Inputs!L95</f>
        <v>0.145</v>
      </c>
      <c r="M24" s="40" t="n">
        <f aca="false">Inputs!M95</f>
        <v>0.145</v>
      </c>
      <c r="N24" s="40" t="n">
        <f aca="false">Inputs!N95</f>
        <v>0.145</v>
      </c>
    </row>
    <row r="25" customFormat="false" ht="15" hidden="false" customHeight="false" outlineLevel="0" collapsed="false">
      <c r="A25" s="7" t="s">
        <v>88</v>
      </c>
      <c r="B25" s="2" t="s">
        <v>147</v>
      </c>
      <c r="C25" s="8" t="n">
        <f aca="false">Historicals!B13</f>
        <v>1047</v>
      </c>
      <c r="D25" s="8" t="n">
        <f aca="false">Historicals!C13</f>
        <v>1219</v>
      </c>
      <c r="E25" s="19" t="n">
        <f aca="false">E22*E24</f>
        <v>1397.37086</v>
      </c>
      <c r="F25" s="19" t="n">
        <f aca="false">F22*F24</f>
        <v>1599.0454652</v>
      </c>
      <c r="G25" s="19" t="n">
        <f aca="false">G22*G24</f>
        <v>1818.366598355</v>
      </c>
      <c r="H25" s="19" t="n">
        <f aca="false">H22*H24</f>
        <v>2054.75425614115</v>
      </c>
      <c r="I25" s="19" t="n">
        <f aca="false">I22*I24</f>
        <v>2301.32476687809</v>
      </c>
      <c r="J25" s="19" t="n">
        <f aca="false">J22*J24</f>
        <v>2554.47049123468</v>
      </c>
      <c r="K25" s="19" t="n">
        <f aca="false">K22*K24</f>
        <v>2809.91754035815</v>
      </c>
      <c r="L25" s="19" t="n">
        <f aca="false">L22*L24</f>
        <v>3062.81011899038</v>
      </c>
      <c r="M25" s="19" t="n">
        <f aca="false">M22*M24</f>
        <v>3307.83492850961</v>
      </c>
      <c r="N25" s="19" t="n">
        <f aca="false">N22*N24</f>
        <v>3539.38337350528</v>
      </c>
    </row>
    <row r="26" customFormat="false" ht="15" hidden="false" customHeight="false" outlineLevel="0" collapsed="false">
      <c r="A26" s="7" t="s">
        <v>300</v>
      </c>
      <c r="B26" s="2" t="s">
        <v>155</v>
      </c>
      <c r="C26" s="26" t="n">
        <f aca="false">C27/C22</f>
        <v>0.0856927710843373</v>
      </c>
      <c r="D26" s="26" t="n">
        <f aca="false">D27/D22</f>
        <v>0.0873307176306797</v>
      </c>
      <c r="E26" s="40" t="n">
        <f aca="false">Inputs!E98</f>
        <v>0.0875</v>
      </c>
      <c r="F26" s="40" t="n">
        <f aca="false">Inputs!F98</f>
        <v>0.0885</v>
      </c>
      <c r="G26" s="40" t="n">
        <f aca="false">Inputs!G98</f>
        <v>0.09</v>
      </c>
      <c r="H26" s="40" t="n">
        <f aca="false">Inputs!H98</f>
        <v>0.091</v>
      </c>
      <c r="I26" s="40" t="n">
        <f aca="false">Inputs!I98</f>
        <v>0.092</v>
      </c>
      <c r="J26" s="40" t="n">
        <f aca="false">Inputs!J98</f>
        <v>0.0925</v>
      </c>
      <c r="K26" s="40" t="n">
        <f aca="false">Inputs!K98</f>
        <v>0.093</v>
      </c>
      <c r="L26" s="40" t="n">
        <f aca="false">Inputs!L98</f>
        <v>0.093</v>
      </c>
      <c r="M26" s="40" t="n">
        <f aca="false">Inputs!M98</f>
        <v>0.093</v>
      </c>
      <c r="N26" s="40" t="n">
        <f aca="false">Inputs!N98</f>
        <v>0.093</v>
      </c>
    </row>
    <row r="27" customFormat="false" ht="15" hidden="false" customHeight="false" outlineLevel="0" collapsed="false">
      <c r="A27" s="7" t="s">
        <v>301</v>
      </c>
      <c r="B27" s="2" t="s">
        <v>147</v>
      </c>
      <c r="C27" s="8" t="n">
        <f aca="false">Historicals!B14</f>
        <v>569</v>
      </c>
      <c r="D27" s="8" t="n">
        <f aca="false">Historicals!C14</f>
        <v>690</v>
      </c>
      <c r="E27" s="19" t="n">
        <f aca="false">E22*E26</f>
        <v>826.1483125</v>
      </c>
      <c r="F27" s="19" t="n">
        <f aca="false">F22*F26</f>
        <v>969.2844087</v>
      </c>
      <c r="G27" s="19" t="n">
        <f aca="false">G22*G26</f>
        <v>1128.64133691</v>
      </c>
      <c r="H27" s="19" t="n">
        <f aca="false">H22*H26</f>
        <v>1289.53542971617</v>
      </c>
      <c r="I27" s="19" t="n">
        <f aca="false">I22*I26</f>
        <v>1460.15088657092</v>
      </c>
      <c r="J27" s="19" t="n">
        <f aca="false">J22*J26</f>
        <v>1629.57600302902</v>
      </c>
      <c r="K27" s="19" t="n">
        <f aca="false">K22*K26</f>
        <v>1802.22297416074</v>
      </c>
      <c r="L27" s="19" t="n">
        <f aca="false">L22*L26</f>
        <v>1964.42304183521</v>
      </c>
      <c r="M27" s="19" t="n">
        <f aca="false">M22*M26</f>
        <v>2121.57688518203</v>
      </c>
      <c r="N27" s="19" t="n">
        <f aca="false">N22*N26</f>
        <v>2270.08726714477</v>
      </c>
    </row>
    <row r="28" customFormat="false" ht="15" hidden="false" customHeight="false" outlineLevel="0" collapsed="false">
      <c r="A28" s="7" t="s">
        <v>302</v>
      </c>
      <c r="B28" s="2" t="s">
        <v>147</v>
      </c>
      <c r="E28" s="8" t="n">
        <f aca="false">Inputs!E101</f>
        <v>-10</v>
      </c>
      <c r="F28" s="8" t="n">
        <f aca="false">Inputs!F101</f>
        <v>-30</v>
      </c>
      <c r="G28" s="8" t="n">
        <f aca="false">Inputs!G101</f>
        <v>-32</v>
      </c>
      <c r="H28" s="8" t="n">
        <f aca="false">Inputs!H101</f>
        <v>-34</v>
      </c>
      <c r="I28" s="8" t="n">
        <f aca="false">Inputs!I101</f>
        <v>-36</v>
      </c>
      <c r="J28" s="8" t="n">
        <f aca="false">Inputs!J101</f>
        <v>-38</v>
      </c>
      <c r="K28" s="8" t="n">
        <f aca="false">Inputs!K101</f>
        <v>-40</v>
      </c>
      <c r="L28" s="8" t="n">
        <f aca="false">Inputs!L101</f>
        <v>-42</v>
      </c>
      <c r="M28" s="8" t="n">
        <f aca="false">Inputs!M101</f>
        <v>-44</v>
      </c>
      <c r="N28" s="8" t="n">
        <f aca="false">Inputs!N101</f>
        <v>-46</v>
      </c>
    </row>
    <row r="29" customFormat="false" ht="15" hidden="false" customHeight="false" outlineLevel="0" collapsed="false">
      <c r="A29" s="9" t="s">
        <v>89</v>
      </c>
      <c r="B29" s="41" t="s">
        <v>147</v>
      </c>
      <c r="C29" s="43" t="n">
        <f aca="false">C27</f>
        <v>569</v>
      </c>
      <c r="D29" s="43" t="n">
        <f aca="false">D27</f>
        <v>690</v>
      </c>
      <c r="E29" s="43" t="n">
        <f aca="false">E27+E28</f>
        <v>816.1483125</v>
      </c>
      <c r="F29" s="43" t="n">
        <f aca="false">F27+F28</f>
        <v>939.2844087</v>
      </c>
      <c r="G29" s="43" t="n">
        <f aca="false">G27+G28</f>
        <v>1096.64133691</v>
      </c>
      <c r="H29" s="43" t="n">
        <f aca="false">H27+H28</f>
        <v>1255.53542971617</v>
      </c>
      <c r="I29" s="43" t="n">
        <f aca="false">I27+I28</f>
        <v>1424.15088657092</v>
      </c>
      <c r="J29" s="43" t="n">
        <f aca="false">J27+J28</f>
        <v>1591.57600302902</v>
      </c>
      <c r="K29" s="43" t="n">
        <f aca="false">K27+K28</f>
        <v>1762.22297416074</v>
      </c>
      <c r="L29" s="43" t="n">
        <f aca="false">L27+L28</f>
        <v>1922.42304183521</v>
      </c>
      <c r="M29" s="43" t="n">
        <f aca="false">M27+M28</f>
        <v>2077.57688518203</v>
      </c>
      <c r="N29" s="43" t="n">
        <f aca="false">N27+N28</f>
        <v>2224.08726714477</v>
      </c>
    </row>
    <row r="30" customFormat="false" ht="15" hidden="false" customHeight="false" outlineLevel="0" collapsed="false">
      <c r="A30" s="3" t="s">
        <v>303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customFormat="false" ht="15" hidden="false" customHeight="false" outlineLevel="0" collapsed="false">
      <c r="A31" s="7" t="s">
        <v>304</v>
      </c>
      <c r="B31" s="2" t="s">
        <v>147</v>
      </c>
      <c r="C31" s="8" t="n">
        <f aca="false">Historicals!B15</f>
        <v>253</v>
      </c>
      <c r="D31" s="8" t="n">
        <f aca="false">Historicals!C15</f>
        <v>347</v>
      </c>
      <c r="E31" s="19" t="n">
        <f aca="false">D31*(1+E32)</f>
        <v>607.25</v>
      </c>
      <c r="F31" s="19" t="n">
        <f aca="false">E31*(1+F32)</f>
        <v>886.585</v>
      </c>
      <c r="G31" s="19" t="n">
        <f aca="false">F31*(1+G32)</f>
        <v>1188.0239</v>
      </c>
      <c r="H31" s="19" t="n">
        <f aca="false">G31*(1+H32)</f>
        <v>1508.790353</v>
      </c>
      <c r="I31" s="19" t="n">
        <f aca="false">H31*(1+I32)</f>
        <v>1855.81213419</v>
      </c>
      <c r="J31" s="19" t="n">
        <f aca="false">I31*(1+J32)</f>
        <v>2226.974561028</v>
      </c>
      <c r="K31" s="19" t="n">
        <f aca="false">J31*(1+K32)</f>
        <v>2605.56023640276</v>
      </c>
      <c r="L31" s="19" t="n">
        <f aca="false">K31*(1+L32)</f>
        <v>2970.33866949915</v>
      </c>
      <c r="M31" s="19" t="n">
        <f aca="false">L31*(1+M32)</f>
        <v>3326.77930983904</v>
      </c>
      <c r="N31" s="19" t="n">
        <f aca="false">M31*(1+N32)</f>
        <v>3659.45724082295</v>
      </c>
    </row>
    <row r="32" customFormat="false" ht="15" hidden="false" customHeight="false" outlineLevel="0" collapsed="false">
      <c r="A32" s="7" t="s">
        <v>48</v>
      </c>
      <c r="B32" s="2" t="s">
        <v>155</v>
      </c>
      <c r="D32" s="14" t="n">
        <f aca="false">D31/C31-1</f>
        <v>0.371541501976285</v>
      </c>
      <c r="E32" s="15" t="n">
        <f aca="false">Inputs!E104</f>
        <v>0.75</v>
      </c>
      <c r="F32" s="15" t="n">
        <f aca="false">Inputs!F104</f>
        <v>0.46</v>
      </c>
      <c r="G32" s="15" t="n">
        <f aca="false">Inputs!G104</f>
        <v>0.34</v>
      </c>
      <c r="H32" s="15" t="n">
        <f aca="false">Inputs!H104</f>
        <v>0.27</v>
      </c>
      <c r="I32" s="15" t="n">
        <f aca="false">Inputs!I104</f>
        <v>0.23</v>
      </c>
      <c r="J32" s="15" t="n">
        <f aca="false">Inputs!J104</f>
        <v>0.2</v>
      </c>
      <c r="K32" s="15" t="n">
        <f aca="false">Inputs!K104</f>
        <v>0.17</v>
      </c>
      <c r="L32" s="15" t="n">
        <f aca="false">Inputs!L104</f>
        <v>0.14</v>
      </c>
      <c r="M32" s="15" t="n">
        <f aca="false">Inputs!M104</f>
        <v>0.12</v>
      </c>
      <c r="N32" s="15" t="n">
        <f aca="false">Inputs!N104</f>
        <v>0.1</v>
      </c>
    </row>
    <row r="33" customFormat="false" ht="15" hidden="false" customHeight="false" outlineLevel="0" collapsed="false">
      <c r="A33" s="7" t="s">
        <v>305</v>
      </c>
      <c r="B33" s="2" t="s">
        <v>155</v>
      </c>
      <c r="C33" s="14" t="n">
        <f aca="false">C34/C31</f>
        <v>-0.41501976284585</v>
      </c>
      <c r="D33" s="14" t="n">
        <f aca="false">D34/D31</f>
        <v>-0.31700288184438</v>
      </c>
      <c r="E33" s="15" t="n">
        <f aca="false">Inputs!E107</f>
        <v>-0.04</v>
      </c>
      <c r="F33" s="15" t="n">
        <f aca="false">Inputs!F107</f>
        <v>0.11</v>
      </c>
      <c r="G33" s="15" t="n">
        <f aca="false">Inputs!G107</f>
        <v>0.18</v>
      </c>
      <c r="H33" s="15" t="n">
        <f aca="false">Inputs!H107</f>
        <v>0.23</v>
      </c>
      <c r="I33" s="15" t="n">
        <f aca="false">Inputs!I107</f>
        <v>0.26</v>
      </c>
      <c r="J33" s="15" t="n">
        <f aca="false">Inputs!J107</f>
        <v>0.28</v>
      </c>
      <c r="K33" s="15" t="n">
        <f aca="false">Inputs!K107</f>
        <v>0.29</v>
      </c>
      <c r="L33" s="15" t="n">
        <f aca="false">Inputs!L107</f>
        <v>0.3</v>
      </c>
      <c r="M33" s="15" t="n">
        <f aca="false">Inputs!M107</f>
        <v>0.3</v>
      </c>
      <c r="N33" s="15" t="n">
        <f aca="false">Inputs!N107</f>
        <v>0.3</v>
      </c>
    </row>
    <row r="34" customFormat="false" ht="15" hidden="false" customHeight="false" outlineLevel="0" collapsed="false">
      <c r="A34" s="7" t="s">
        <v>306</v>
      </c>
      <c r="B34" s="2" t="s">
        <v>147</v>
      </c>
      <c r="C34" s="8" t="n">
        <f aca="false">Historicals!B16</f>
        <v>-105</v>
      </c>
      <c r="D34" s="8" t="n">
        <f aca="false">Historicals!C16</f>
        <v>-110</v>
      </c>
      <c r="E34" s="19" t="n">
        <f aca="false">E31*E33</f>
        <v>-24.29</v>
      </c>
      <c r="F34" s="19" t="n">
        <f aca="false">F31*F33</f>
        <v>97.52435</v>
      </c>
      <c r="G34" s="19" t="n">
        <f aca="false">G31*G33</f>
        <v>213.844302</v>
      </c>
      <c r="H34" s="19" t="n">
        <f aca="false">H31*H33</f>
        <v>347.02178119</v>
      </c>
      <c r="I34" s="19" t="n">
        <f aca="false">I31*I33</f>
        <v>482.5111548894</v>
      </c>
      <c r="J34" s="19" t="n">
        <f aca="false">J31*J33</f>
        <v>623.55287708784</v>
      </c>
      <c r="K34" s="19" t="n">
        <f aca="false">K31*K33</f>
        <v>755.6124685568</v>
      </c>
      <c r="L34" s="19" t="n">
        <f aca="false">L31*L33</f>
        <v>891.101600849744</v>
      </c>
      <c r="M34" s="19" t="n">
        <f aca="false">M31*M33</f>
        <v>998.033792951713</v>
      </c>
      <c r="N34" s="19" t="n">
        <f aca="false">N31*N33</f>
        <v>1097.83717224688</v>
      </c>
    </row>
    <row r="35" customFormat="false" ht="15" hidden="false" customHeight="false" outlineLevel="0" collapsed="false">
      <c r="A35" s="7" t="s">
        <v>307</v>
      </c>
      <c r="B35" s="2" t="s">
        <v>147</v>
      </c>
      <c r="E35" s="8" t="n">
        <f aca="false">Inputs!E113</f>
        <v>500</v>
      </c>
      <c r="F35" s="8" t="n">
        <f aca="false">Inputs!F113</f>
        <v>580</v>
      </c>
      <c r="G35" s="8" t="n">
        <f aca="false">Inputs!G113</f>
        <v>760</v>
      </c>
      <c r="H35" s="8" t="n">
        <f aca="false">Inputs!H113</f>
        <v>920</v>
      </c>
      <c r="I35" s="8" t="n">
        <f aca="false">Inputs!I113</f>
        <v>1070</v>
      </c>
      <c r="J35" s="8" t="n">
        <f aca="false">Inputs!J113</f>
        <v>1200</v>
      </c>
      <c r="K35" s="8" t="n">
        <f aca="false">Inputs!K113</f>
        <v>1320</v>
      </c>
      <c r="L35" s="8" t="n">
        <f aca="false">Inputs!L113</f>
        <v>1430</v>
      </c>
      <c r="M35" s="8" t="n">
        <f aca="false">Inputs!M113</f>
        <v>1530</v>
      </c>
      <c r="N35" s="8" t="n">
        <f aca="false">Inputs!N113</f>
        <v>1630</v>
      </c>
    </row>
    <row r="36" customFormat="false" ht="15" hidden="false" customHeight="false" outlineLevel="0" collapsed="false">
      <c r="A36" s="7" t="s">
        <v>293</v>
      </c>
      <c r="B36" s="2" t="s">
        <v>160</v>
      </c>
      <c r="E36" s="44" t="n">
        <f aca="false">Inputs!E116</f>
        <v>0</v>
      </c>
      <c r="F36" s="44" t="n">
        <f aca="false">Inputs!F116</f>
        <v>0.5</v>
      </c>
      <c r="G36" s="44" t="n">
        <f aca="false">Inputs!G116</f>
        <v>1</v>
      </c>
      <c r="H36" s="44" t="n">
        <f aca="false">Inputs!H116</f>
        <v>1</v>
      </c>
      <c r="I36" s="44" t="n">
        <f aca="false">Inputs!I116</f>
        <v>1</v>
      </c>
      <c r="J36" s="44" t="n">
        <f aca="false">Inputs!J116</f>
        <v>1</v>
      </c>
      <c r="K36" s="44" t="n">
        <f aca="false">Inputs!K116</f>
        <v>1</v>
      </c>
      <c r="L36" s="44" t="n">
        <f aca="false">Inputs!L116</f>
        <v>1</v>
      </c>
      <c r="M36" s="44" t="n">
        <f aca="false">Inputs!M116</f>
        <v>1</v>
      </c>
      <c r="N36" s="44" t="n">
        <f aca="false">Inputs!N116</f>
        <v>1</v>
      </c>
    </row>
    <row r="37" customFormat="false" ht="15" hidden="false" customHeight="false" outlineLevel="0" collapsed="false">
      <c r="A37" s="7" t="s">
        <v>308</v>
      </c>
      <c r="B37" s="2" t="s">
        <v>147</v>
      </c>
      <c r="E37" s="19" t="n">
        <f aca="false">E35*E36</f>
        <v>0</v>
      </c>
      <c r="F37" s="19" t="n">
        <f aca="false">F35*F36</f>
        <v>290</v>
      </c>
      <c r="G37" s="19" t="n">
        <f aca="false">G35*G36</f>
        <v>760</v>
      </c>
      <c r="H37" s="19" t="n">
        <f aca="false">H35*H36</f>
        <v>920</v>
      </c>
      <c r="I37" s="19" t="n">
        <f aca="false">I35*I36</f>
        <v>1070</v>
      </c>
      <c r="J37" s="19" t="n">
        <f aca="false">J35*J36</f>
        <v>1200</v>
      </c>
      <c r="K37" s="19" t="n">
        <f aca="false">K35*K36</f>
        <v>1320</v>
      </c>
      <c r="L37" s="19" t="n">
        <f aca="false">L35*L36</f>
        <v>1430</v>
      </c>
      <c r="M37" s="19" t="n">
        <f aca="false">M35*M36</f>
        <v>1530</v>
      </c>
      <c r="N37" s="19" t="n">
        <f aca="false">N35*N36</f>
        <v>1630</v>
      </c>
    </row>
    <row r="38" customFormat="false" ht="15" hidden="false" customHeight="false" outlineLevel="0" collapsed="false">
      <c r="A38" s="7" t="s">
        <v>309</v>
      </c>
      <c r="B38" s="2" t="s">
        <v>155</v>
      </c>
      <c r="E38" s="15" t="n">
        <f aca="false">Inputs!E119</f>
        <v>0.18</v>
      </c>
      <c r="F38" s="15" t="n">
        <f aca="false">Inputs!F119</f>
        <v>0.2</v>
      </c>
      <c r="G38" s="15" t="n">
        <f aca="false">Inputs!G119</f>
        <v>0.28</v>
      </c>
      <c r="H38" s="15" t="n">
        <f aca="false">Inputs!H119</f>
        <v>0.3</v>
      </c>
      <c r="I38" s="15" t="n">
        <f aca="false">Inputs!I119</f>
        <v>0.31</v>
      </c>
      <c r="J38" s="15" t="n">
        <f aca="false">Inputs!J119</f>
        <v>0.31</v>
      </c>
      <c r="K38" s="15" t="n">
        <f aca="false">Inputs!K119</f>
        <v>0.31</v>
      </c>
      <c r="L38" s="15" t="n">
        <f aca="false">Inputs!L119</f>
        <v>0.31</v>
      </c>
      <c r="M38" s="15" t="n">
        <f aca="false">Inputs!M119</f>
        <v>0.31</v>
      </c>
      <c r="N38" s="15" t="n">
        <f aca="false">Inputs!N119</f>
        <v>0.31</v>
      </c>
    </row>
    <row r="39" customFormat="false" ht="15" hidden="false" customHeight="false" outlineLevel="0" collapsed="false">
      <c r="A39" s="7" t="s">
        <v>310</v>
      </c>
      <c r="B39" s="2" t="s">
        <v>147</v>
      </c>
      <c r="E39" s="19" t="n">
        <f aca="false">E37*E38</f>
        <v>0</v>
      </c>
      <c r="F39" s="19" t="n">
        <f aca="false">F37*F38</f>
        <v>58</v>
      </c>
      <c r="G39" s="19" t="n">
        <f aca="false">G37*G38</f>
        <v>212.8</v>
      </c>
      <c r="H39" s="19" t="n">
        <f aca="false">H37*H38</f>
        <v>276</v>
      </c>
      <c r="I39" s="19" t="n">
        <f aca="false">I37*I38</f>
        <v>331.7</v>
      </c>
      <c r="J39" s="19" t="n">
        <f aca="false">J37*J38</f>
        <v>372</v>
      </c>
      <c r="K39" s="19" t="n">
        <f aca="false">K37*K38</f>
        <v>409.2</v>
      </c>
      <c r="L39" s="19" t="n">
        <f aca="false">L37*L38</f>
        <v>443.3</v>
      </c>
      <c r="M39" s="19" t="n">
        <f aca="false">M37*M38</f>
        <v>474.3</v>
      </c>
      <c r="N39" s="19" t="n">
        <f aca="false">N37*N38</f>
        <v>505.3</v>
      </c>
    </row>
    <row r="40" customFormat="false" ht="15" hidden="false" customHeight="false" outlineLevel="0" collapsed="false">
      <c r="A40" s="7" t="s">
        <v>311</v>
      </c>
      <c r="B40" s="2" t="s">
        <v>147</v>
      </c>
      <c r="C40" s="19" t="n">
        <f aca="false">C31</f>
        <v>253</v>
      </c>
      <c r="D40" s="19" t="n">
        <f aca="false">D31</f>
        <v>347</v>
      </c>
      <c r="E40" s="19" t="n">
        <f aca="false">E31+E37</f>
        <v>607.25</v>
      </c>
      <c r="F40" s="19" t="n">
        <f aca="false">F31+F37</f>
        <v>1176.585</v>
      </c>
      <c r="G40" s="19" t="n">
        <f aca="false">G31+G37</f>
        <v>1948.0239</v>
      </c>
      <c r="H40" s="19" t="n">
        <f aca="false">H31+H37</f>
        <v>2428.790353</v>
      </c>
      <c r="I40" s="19" t="n">
        <f aca="false">I31+I37</f>
        <v>2925.81213419</v>
      </c>
      <c r="J40" s="19" t="n">
        <f aca="false">J31+J37</f>
        <v>3426.974561028</v>
      </c>
      <c r="K40" s="19" t="n">
        <f aca="false">K31+K37</f>
        <v>3925.56023640276</v>
      </c>
      <c r="L40" s="19" t="n">
        <f aca="false">L31+L37</f>
        <v>4400.33866949915</v>
      </c>
      <c r="M40" s="19" t="n">
        <f aca="false">M31+M37</f>
        <v>4856.77930983905</v>
      </c>
      <c r="N40" s="19" t="n">
        <f aca="false">N31+N37</f>
        <v>5289.45724082295</v>
      </c>
    </row>
    <row r="41" customFormat="false" ht="15" hidden="false" customHeight="false" outlineLevel="0" collapsed="false">
      <c r="A41" s="9" t="s">
        <v>312</v>
      </c>
      <c r="B41" s="41" t="s">
        <v>147</v>
      </c>
      <c r="C41" s="43" t="n">
        <f aca="false">C34</f>
        <v>-105</v>
      </c>
      <c r="D41" s="43" t="n">
        <f aca="false">D34</f>
        <v>-110</v>
      </c>
      <c r="E41" s="43" t="n">
        <f aca="false">E34+E39</f>
        <v>-24.29</v>
      </c>
      <c r="F41" s="43" t="n">
        <f aca="false">F34+F39</f>
        <v>155.52435</v>
      </c>
      <c r="G41" s="43" t="n">
        <f aca="false">G34+G39</f>
        <v>426.644302</v>
      </c>
      <c r="H41" s="43" t="n">
        <f aca="false">H34+H39</f>
        <v>623.02178119</v>
      </c>
      <c r="I41" s="43" t="n">
        <f aca="false">I34+I39</f>
        <v>814.2111548894</v>
      </c>
      <c r="J41" s="43" t="n">
        <f aca="false">J34+J39</f>
        <v>995.55287708784</v>
      </c>
      <c r="K41" s="43" t="n">
        <f aca="false">K34+K39</f>
        <v>1164.8124685568</v>
      </c>
      <c r="L41" s="43" t="n">
        <f aca="false">L34+L39</f>
        <v>1334.40160084974</v>
      </c>
      <c r="M41" s="43" t="n">
        <f aca="false">M34+M39</f>
        <v>1472.33379295171</v>
      </c>
      <c r="N41" s="43" t="n">
        <f aca="false">N34+N39</f>
        <v>1603.13717224688</v>
      </c>
    </row>
    <row r="42" customFormat="false" ht="15" hidden="false" customHeight="false" outlineLevel="0" collapsed="false">
      <c r="A42" s="3" t="s">
        <v>313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customFormat="false" ht="15" hidden="false" customHeight="false" outlineLevel="0" collapsed="false">
      <c r="A43" s="7" t="s">
        <v>92</v>
      </c>
      <c r="B43" s="2" t="s">
        <v>147</v>
      </c>
      <c r="C43" s="8" t="n">
        <f aca="false">Historicals!B17</f>
        <v>4</v>
      </c>
      <c r="D43" s="8" t="n">
        <f aca="false">Historicals!C17</f>
        <v>4</v>
      </c>
      <c r="E43" s="19" t="n">
        <f aca="false">D43*(1+Inputs!$B$34)</f>
        <v>4.4</v>
      </c>
      <c r="F43" s="19" t="n">
        <f aca="false">E43*(1+Inputs!$B$34)</f>
        <v>4.84</v>
      </c>
      <c r="G43" s="19" t="n">
        <f aca="false">F43*(1+Inputs!$B$34)</f>
        <v>5.324</v>
      </c>
      <c r="H43" s="19" t="n">
        <f aca="false">G43*(1+Inputs!$B$34)</f>
        <v>5.8564</v>
      </c>
      <c r="I43" s="19" t="n">
        <f aca="false">H43*(1+Inputs!$B$34)</f>
        <v>6.44204</v>
      </c>
      <c r="J43" s="19" t="n">
        <f aca="false">I43*(1+Inputs!$B$34)</f>
        <v>7.086244</v>
      </c>
      <c r="K43" s="19" t="n">
        <f aca="false">J43*(1+Inputs!$B$34)</f>
        <v>7.79486840000001</v>
      </c>
      <c r="L43" s="19" t="n">
        <f aca="false">K43*(1+Inputs!$B$34)</f>
        <v>8.57435524000001</v>
      </c>
      <c r="M43" s="19" t="n">
        <f aca="false">L43*(1+Inputs!$B$34)</f>
        <v>9.43179076400001</v>
      </c>
      <c r="N43" s="19" t="n">
        <f aca="false">M43*(1+Inputs!$B$34)</f>
        <v>10.3749698404</v>
      </c>
    </row>
    <row r="44" customFormat="false" ht="15" hidden="false" customHeight="false" outlineLevel="0" collapsed="false">
      <c r="A44" s="7" t="s">
        <v>93</v>
      </c>
      <c r="B44" s="2" t="s">
        <v>147</v>
      </c>
      <c r="C44" s="8" t="n">
        <f aca="false">Historicals!B18</f>
        <v>3</v>
      </c>
      <c r="D44" s="8" t="n">
        <f aca="false">Historicals!C18</f>
        <v>1</v>
      </c>
      <c r="E44" s="19" t="n">
        <f aca="false">0</f>
        <v>0</v>
      </c>
      <c r="F44" s="19" t="n">
        <f aca="false">0</f>
        <v>0</v>
      </c>
      <c r="G44" s="19" t="n">
        <f aca="false">0</f>
        <v>0</v>
      </c>
      <c r="H44" s="19" t="n">
        <f aca="false">0</f>
        <v>0</v>
      </c>
      <c r="I44" s="19" t="n">
        <f aca="false">0</f>
        <v>0</v>
      </c>
      <c r="J44" s="19" t="n">
        <f aca="false">0</f>
        <v>0</v>
      </c>
      <c r="K44" s="19" t="n">
        <f aca="false">0</f>
        <v>0</v>
      </c>
      <c r="L44" s="19" t="n">
        <f aca="false">0</f>
        <v>0</v>
      </c>
      <c r="M44" s="19" t="n">
        <f aca="false">0</f>
        <v>0</v>
      </c>
      <c r="N44" s="19" t="n">
        <f aca="false">0</f>
        <v>0</v>
      </c>
      <c r="O44" s="2" t="s">
        <v>314</v>
      </c>
    </row>
    <row r="45" customFormat="false" ht="15" hidden="false" customHeight="false" outlineLevel="0" collapsed="false">
      <c r="A45" s="3" t="s">
        <v>315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customFormat="false" ht="15" hidden="false" customHeight="false" outlineLevel="0" collapsed="false">
      <c r="A46" s="7" t="s">
        <v>316</v>
      </c>
      <c r="B46" s="2" t="s">
        <v>147</v>
      </c>
      <c r="C46" s="8" t="n">
        <f aca="false">Historicals!B5</f>
        <v>18364</v>
      </c>
      <c r="D46" s="8" t="n">
        <f aca="false">Historicals!C5</f>
        <v>22138</v>
      </c>
      <c r="E46" s="19" t="n">
        <f aca="false">E6+E16+E22</f>
        <v>27348.795</v>
      </c>
      <c r="F46" s="19" t="n">
        <f aca="false">F6+F16+F22</f>
        <v>33576.8952</v>
      </c>
      <c r="G46" s="19" t="n">
        <f aca="false">G6+G16+G22</f>
        <v>38842.678229</v>
      </c>
      <c r="H46" s="19" t="n">
        <f aca="false">H6+H16+H22</f>
        <v>44256.52997737</v>
      </c>
      <c r="I46" s="19" t="n">
        <f aca="false">I6+I16+I22</f>
        <v>49716.7418603494</v>
      </c>
      <c r="J46" s="19" t="n">
        <f aca="false">J6+J16+J22</f>
        <v>55363.5232172632</v>
      </c>
      <c r="K46" s="19" t="n">
        <f aca="false">K6+K16+K22</f>
        <v>61132.8763403603</v>
      </c>
      <c r="L46" s="19" t="n">
        <f aca="false">L6+L16+L22</f>
        <v>66900.6893031191</v>
      </c>
      <c r="M46" s="19" t="n">
        <f aca="false">M6+M16+M22</f>
        <v>72579.0607689242</v>
      </c>
      <c r="N46" s="19" t="n">
        <f aca="false">N6+N16+N22</f>
        <v>78047.8824605214</v>
      </c>
    </row>
    <row r="47" customFormat="false" ht="15" hidden="false" customHeight="false" outlineLevel="0" collapsed="false">
      <c r="A47" s="9" t="s">
        <v>47</v>
      </c>
      <c r="B47" s="41" t="s">
        <v>147</v>
      </c>
      <c r="C47" s="43" t="n">
        <f aca="false">C9+C25+C40+C43</f>
        <v>2797</v>
      </c>
      <c r="D47" s="43" t="n">
        <f aca="false">D9+D25+D40+D43</f>
        <v>3370</v>
      </c>
      <c r="E47" s="43" t="n">
        <f aca="false">E9+E18+E25+E40+E43</f>
        <v>4265.48791</v>
      </c>
      <c r="F47" s="43" t="n">
        <f aca="false">F9+F18+F25+F40+F43</f>
        <v>5708.2341772</v>
      </c>
      <c r="G47" s="43" t="n">
        <f aca="false">G9+G18+G25+G40+G43</f>
        <v>7221.329359255</v>
      </c>
      <c r="H47" s="43" t="n">
        <f aca="false">H9+H18+H25+H40+H43</f>
        <v>8460.92821094565</v>
      </c>
      <c r="I47" s="43" t="n">
        <f aca="false">I9+I18+I25+I40+I43</f>
        <v>9730.99981100671</v>
      </c>
      <c r="J47" s="43" t="n">
        <f aca="false">J9+J18+J25+J40+J43</f>
        <v>11037.7066577902</v>
      </c>
      <c r="K47" s="43" t="n">
        <f aca="false">K9+K18+K25+K40+K43</f>
        <v>12326.9100089025</v>
      </c>
      <c r="L47" s="43" t="n">
        <f aca="false">L9+L18+L25+L40+L43</f>
        <v>13591.7295919137</v>
      </c>
      <c r="M47" s="43" t="n">
        <f aca="false">M9+M18+M25+M40+M43</f>
        <v>14825.7910259594</v>
      </c>
      <c r="N47" s="43" t="n">
        <f aca="false">N9+N18+N25+N40+N43</f>
        <v>16007.2405704102</v>
      </c>
    </row>
    <row r="48" customFormat="false" ht="15" hidden="false" customHeight="false" outlineLevel="0" collapsed="false">
      <c r="A48" s="7" t="s">
        <v>48</v>
      </c>
      <c r="B48" s="2" t="s">
        <v>155</v>
      </c>
      <c r="D48" s="14" t="n">
        <f aca="false">D47/C47-1</f>
        <v>0.204862352520558</v>
      </c>
      <c r="E48" s="14" t="n">
        <f aca="false">E47/D47-1</f>
        <v>0.265723415430267</v>
      </c>
      <c r="F48" s="14" t="n">
        <f aca="false">F47/E47-1</f>
        <v>0.338237101508981</v>
      </c>
      <c r="G48" s="14" t="n">
        <f aca="false">G47/F47-1</f>
        <v>0.265072373536925</v>
      </c>
      <c r="H48" s="14" t="n">
        <f aca="false">H47/G47-1</f>
        <v>0.17165798567295</v>
      </c>
      <c r="I48" s="14" t="n">
        <f aca="false">I47/H47-1</f>
        <v>0.150110196942459</v>
      </c>
      <c r="J48" s="14" t="n">
        <f aca="false">J47/I47-1</f>
        <v>0.134282897149529</v>
      </c>
      <c r="K48" s="14" t="n">
        <f aca="false">K47/J47-1</f>
        <v>0.116799928742665</v>
      </c>
      <c r="L48" s="14" t="n">
        <f aca="false">L47/K47-1</f>
        <v>0.102606377599715</v>
      </c>
      <c r="M48" s="14" t="n">
        <f aca="false">M47/L47-1</f>
        <v>0.0907950254381043</v>
      </c>
      <c r="N48" s="14" t="n">
        <f aca="false">N47/M47-1</f>
        <v>0.0796888032741203</v>
      </c>
    </row>
    <row r="49" customFormat="false" ht="15" hidden="false" customHeight="false" outlineLevel="0" collapsed="false">
      <c r="A49" s="7" t="s">
        <v>94</v>
      </c>
      <c r="B49" s="2" t="s">
        <v>147</v>
      </c>
      <c r="C49" s="19" t="n">
        <f aca="false">C11+C29+C41+C44</f>
        <v>663</v>
      </c>
      <c r="D49" s="19" t="n">
        <f aca="false">D11+D29+D41+D44</f>
        <v>868</v>
      </c>
      <c r="E49" s="19" t="n">
        <f aca="false">E11+E20+E29+E41+E44</f>
        <v>1186.5780625</v>
      </c>
      <c r="F49" s="19" t="n">
        <f aca="false">F11+F20+F29+F41+F44</f>
        <v>1672.8307772</v>
      </c>
      <c r="G49" s="19" t="n">
        <f aca="false">G11+G20+G29+G41+G44</f>
        <v>2304.24582788</v>
      </c>
      <c r="H49" s="19" t="n">
        <f aca="false">H11+H20+H29+H41+H44</f>
        <v>2848.97473004542</v>
      </c>
      <c r="I49" s="19" t="n">
        <f aca="false">I11+I20+I29+I41+I44</f>
        <v>3396.26485862275</v>
      </c>
      <c r="J49" s="19" t="n">
        <f aca="false">J11+J20+J29+J41+J44</f>
        <v>3932.33320926663</v>
      </c>
      <c r="K49" s="19" t="n">
        <f aca="false">K11+K20+K29+K41+K44</f>
        <v>4472.55038638603</v>
      </c>
      <c r="L49" s="19" t="n">
        <f aca="false">L11+L20+L29+L41+L44</f>
        <v>4993.21376940689</v>
      </c>
      <c r="M49" s="19" t="n">
        <f aca="false">M11+M20+M29+M41+M44</f>
        <v>5483.69101383879</v>
      </c>
      <c r="N49" s="19" t="n">
        <f aca="false">N11+N20+N29+N41+N44</f>
        <v>5910.78525391258</v>
      </c>
    </row>
    <row r="50" customFormat="false" ht="15" hidden="false" customHeight="false" outlineLevel="0" collapsed="false">
      <c r="A50" s="7" t="s">
        <v>95</v>
      </c>
      <c r="B50" s="2" t="s">
        <v>147</v>
      </c>
      <c r="C50" s="8" t="n">
        <f aca="false">Historicals!B21</f>
        <v>350</v>
      </c>
      <c r="D50" s="8" t="n">
        <f aca="false">Historicals!C21</f>
        <v>368</v>
      </c>
      <c r="E50" s="19" t="n">
        <f aca="false">D50*(1+E51)</f>
        <v>425.04</v>
      </c>
      <c r="F50" s="19" t="n">
        <f aca="false">E50*(1+F51)</f>
        <v>459.0432</v>
      </c>
      <c r="G50" s="19" t="n">
        <f aca="false">F50*(1+G51)</f>
        <v>491.176224</v>
      </c>
      <c r="H50" s="19" t="n">
        <f aca="false">G50*(1+H51)</f>
        <v>520.64679744</v>
      </c>
      <c r="I50" s="19" t="n">
        <f aca="false">H50*(1+I51)</f>
        <v>546.679137312</v>
      </c>
      <c r="J50" s="19" t="n">
        <f aca="false">I50*(1+J51)</f>
        <v>574.0130941776</v>
      </c>
      <c r="K50" s="19" t="n">
        <f aca="false">J50*(1+K51)</f>
        <v>596.973617944704</v>
      </c>
      <c r="L50" s="19" t="n">
        <f aca="false">K50*(1+L51)</f>
        <v>620.852562662493</v>
      </c>
      <c r="M50" s="19" t="n">
        <f aca="false">L50*(1+M51)</f>
        <v>645.686665168992</v>
      </c>
      <c r="N50" s="19" t="n">
        <f aca="false">M50*(1+N51)</f>
        <v>671.514131775752</v>
      </c>
    </row>
    <row r="51" customFormat="false" ht="15" hidden="false" customHeight="false" outlineLevel="0" collapsed="false">
      <c r="A51" s="7" t="s">
        <v>48</v>
      </c>
      <c r="B51" s="2" t="s">
        <v>155</v>
      </c>
      <c r="D51" s="14" t="n">
        <f aca="false">D50/C50-1</f>
        <v>0.0514285714285714</v>
      </c>
      <c r="E51" s="15" t="n">
        <f aca="false">Inputs!E128</f>
        <v>0.155</v>
      </c>
      <c r="F51" s="15" t="n">
        <f aca="false">Inputs!F128</f>
        <v>0.08</v>
      </c>
      <c r="G51" s="15" t="n">
        <f aca="false">Inputs!G128</f>
        <v>0.07</v>
      </c>
      <c r="H51" s="15" t="n">
        <f aca="false">Inputs!H128</f>
        <v>0.06</v>
      </c>
      <c r="I51" s="15" t="n">
        <f aca="false">Inputs!I128</f>
        <v>0.05</v>
      </c>
      <c r="J51" s="15" t="n">
        <f aca="false">Inputs!J128</f>
        <v>0.05</v>
      </c>
      <c r="K51" s="15" t="n">
        <f aca="false">Inputs!K128</f>
        <v>0.04</v>
      </c>
      <c r="L51" s="15" t="n">
        <f aca="false">Inputs!L128</f>
        <v>0.04</v>
      </c>
      <c r="M51" s="15" t="n">
        <f aca="false">Inputs!M128</f>
        <v>0.04</v>
      </c>
      <c r="N51" s="15" t="n">
        <f aca="false">Inputs!N128</f>
        <v>0.04</v>
      </c>
    </row>
    <row r="52" customFormat="false" ht="15" hidden="false" customHeight="false" outlineLevel="0" collapsed="false">
      <c r="A52" s="9" t="s">
        <v>49</v>
      </c>
      <c r="B52" s="41" t="s">
        <v>147</v>
      </c>
      <c r="C52" s="43" t="n">
        <f aca="false">C49-C50</f>
        <v>313</v>
      </c>
      <c r="D52" s="43" t="n">
        <f aca="false">D49-D50</f>
        <v>500</v>
      </c>
      <c r="E52" s="43" t="n">
        <f aca="false">E49-E50</f>
        <v>761.5380625</v>
      </c>
      <c r="F52" s="43" t="n">
        <f aca="false">F49-F50</f>
        <v>1213.7875772</v>
      </c>
      <c r="G52" s="43" t="n">
        <f aca="false">G49-G50</f>
        <v>1813.06960388</v>
      </c>
      <c r="H52" s="43" t="n">
        <f aca="false">H49-H50</f>
        <v>2328.32793260542</v>
      </c>
      <c r="I52" s="43" t="n">
        <f aca="false">I49-I50</f>
        <v>2849.58572131075</v>
      </c>
      <c r="J52" s="43" t="n">
        <f aca="false">J49-J50</f>
        <v>3358.32011508903</v>
      </c>
      <c r="K52" s="43" t="n">
        <f aca="false">K49-K50</f>
        <v>3875.57676844132</v>
      </c>
      <c r="L52" s="43" t="n">
        <f aca="false">L49-L50</f>
        <v>4372.3612067444</v>
      </c>
      <c r="M52" s="43" t="n">
        <f aca="false">M49-M50</f>
        <v>4838.0043486698</v>
      </c>
      <c r="N52" s="43" t="n">
        <f aca="false">N49-N50</f>
        <v>5239.27112213683</v>
      </c>
    </row>
    <row r="53" customFormat="false" ht="15" hidden="false" customHeight="false" outlineLevel="0" collapsed="false">
      <c r="A53" s="7" t="s">
        <v>317</v>
      </c>
      <c r="B53" s="2" t="s">
        <v>155</v>
      </c>
      <c r="C53" s="14" t="n">
        <f aca="false">C52/C47</f>
        <v>0.111905613156954</v>
      </c>
      <c r="D53" s="14" t="n">
        <f aca="false">D52/D47</f>
        <v>0.148367952522255</v>
      </c>
      <c r="E53" s="14" t="n">
        <f aca="false">E52/E47</f>
        <v>0.178534807404952</v>
      </c>
      <c r="F53" s="14" t="n">
        <f aca="false">F52/F47</f>
        <v>0.212638013704509</v>
      </c>
      <c r="G53" s="14" t="n">
        <f aca="false">G52/G47</f>
        <v>0.251071445945937</v>
      </c>
      <c r="H53" s="14" t="n">
        <f aca="false">H52/H47</f>
        <v>0.275185874948488</v>
      </c>
      <c r="I53" s="14" t="n">
        <f aca="false">I52/I47</f>
        <v>0.292835862363042</v>
      </c>
      <c r="J53" s="14" t="n">
        <f aca="false">J52/J47</f>
        <v>0.304258866375905</v>
      </c>
      <c r="K53" s="14" t="n">
        <f aca="false">K52/K47</f>
        <v>0.314399696731976</v>
      </c>
      <c r="L53" s="14" t="n">
        <f aca="false">L52/L47</f>
        <v>0.321692774799294</v>
      </c>
      <c r="M53" s="14" t="n">
        <f aca="false">M52/M47</f>
        <v>0.326323522313154</v>
      </c>
      <c r="N53" s="14" t="n">
        <f aca="false">N52/N47</f>
        <v>0.327306327351745</v>
      </c>
    </row>
    <row r="54" customFormat="false" ht="15" hidden="false" customHeight="false" outlineLevel="0" collapsed="false">
      <c r="A54" s="7" t="s">
        <v>48</v>
      </c>
      <c r="B54" s="2" t="s">
        <v>155</v>
      </c>
      <c r="D54" s="14" t="n">
        <f aca="false">D52/C52-1</f>
        <v>0.597444089456869</v>
      </c>
      <c r="E54" s="14" t="n">
        <f aca="false">E52/D52-1</f>
        <v>0.523076125</v>
      </c>
      <c r="F54" s="14" t="n">
        <f aca="false">F52/E52-1</f>
        <v>0.593863310279386</v>
      </c>
      <c r="G54" s="14" t="n">
        <f aca="false">G52/F52-1</f>
        <v>0.493728917594001</v>
      </c>
      <c r="H54" s="14" t="n">
        <f aca="false">H52/G52-1</f>
        <v>0.284191146121891</v>
      </c>
      <c r="I54" s="14" t="n">
        <f aca="false">I52/H52-1</f>
        <v>0.223876448590313</v>
      </c>
      <c r="J54" s="14" t="n">
        <f aca="false">J52/I52-1</f>
        <v>0.178529247242395</v>
      </c>
      <c r="K54" s="14" t="n">
        <f aca="false">K52/J52-1</f>
        <v>0.154022438488887</v>
      </c>
      <c r="L54" s="14" t="n">
        <f aca="false">L52/K52-1</f>
        <v>0.128183356435712</v>
      </c>
      <c r="M54" s="14" t="n">
        <f aca="false">M52/L52-1</f>
        <v>0.106496952083269</v>
      </c>
      <c r="N54" s="14" t="n">
        <f aca="false">N52/M52-1</f>
        <v>0.0829405565907264</v>
      </c>
    </row>
    <row r="55" customFormat="false" ht="15" hidden="false" customHeight="false" outlineLevel="0" collapsed="false">
      <c r="A55" s="7" t="s">
        <v>318</v>
      </c>
      <c r="B55" s="2" t="s">
        <v>147</v>
      </c>
      <c r="C55" s="19" t="n">
        <f aca="false">C52-Historicals!B22</f>
        <v>0</v>
      </c>
      <c r="D55" s="19" t="n">
        <f aca="false">D52-Historicals!C22</f>
        <v>0</v>
      </c>
      <c r="O55" s="2" t="s">
        <v>319</v>
      </c>
    </row>
    <row r="56" customFormat="false" ht="15" hidden="false" customHeight="false" outlineLevel="0" collapsed="false">
      <c r="A56" s="3" t="s">
        <v>320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customFormat="false" ht="15" hidden="false" customHeight="false" outlineLevel="0" collapsed="false">
      <c r="A57" s="7" t="s">
        <v>51</v>
      </c>
      <c r="B57" s="2" t="s">
        <v>147</v>
      </c>
      <c r="C57" s="8" t="n">
        <f aca="false">Historicals!B25</f>
        <v>279</v>
      </c>
      <c r="D57" s="8" t="n">
        <f aca="false">Historicals!C25</f>
        <v>241</v>
      </c>
      <c r="E57" s="19" t="n">
        <f aca="false">E47*E58</f>
        <v>277.25671415</v>
      </c>
      <c r="F57" s="19" t="n">
        <f aca="false">F47*F58</f>
        <v>325.3693481004</v>
      </c>
      <c r="G57" s="19" t="n">
        <f aca="false">G47*G58</f>
        <v>368.287797322005</v>
      </c>
      <c r="H57" s="19" t="n">
        <f aca="false">H47*H58</f>
        <v>397.663625914446</v>
      </c>
      <c r="I57" s="19" t="n">
        <f aca="false">I47*I58</f>
        <v>428.163991684295</v>
      </c>
      <c r="J57" s="19" t="n">
        <f aca="false">J47*J58</f>
        <v>452.545972969399</v>
      </c>
      <c r="K57" s="19" t="n">
        <f aca="false">K47*K58</f>
        <v>480.749490347199</v>
      </c>
      <c r="L57" s="19" t="n">
        <f aca="false">L47*L58</f>
        <v>502.893994900807</v>
      </c>
      <c r="M57" s="19" t="n">
        <f aca="false">M47*M58</f>
        <v>518.902685908578</v>
      </c>
      <c r="N57" s="19" t="n">
        <f aca="false">N47*N58</f>
        <v>544.246179393948</v>
      </c>
    </row>
    <row r="58" customFormat="false" ht="15" hidden="false" customHeight="false" outlineLevel="0" collapsed="false">
      <c r="A58" s="7" t="s">
        <v>321</v>
      </c>
      <c r="B58" s="2" t="s">
        <v>155</v>
      </c>
      <c r="C58" s="14" t="n">
        <f aca="false">C57/C47</f>
        <v>0.0997497318555595</v>
      </c>
      <c r="D58" s="14" t="n">
        <f aca="false">D57/D47</f>
        <v>0.071513353115727</v>
      </c>
      <c r="E58" s="15" t="n">
        <f aca="false">Inputs!E131</f>
        <v>0.065</v>
      </c>
      <c r="F58" s="15" t="n">
        <f aca="false">Inputs!F131</f>
        <v>0.057</v>
      </c>
      <c r="G58" s="15" t="n">
        <f aca="false">Inputs!G131</f>
        <v>0.051</v>
      </c>
      <c r="H58" s="15" t="n">
        <f aca="false">Inputs!H131</f>
        <v>0.047</v>
      </c>
      <c r="I58" s="15" t="n">
        <f aca="false">Inputs!I131</f>
        <v>0.044</v>
      </c>
      <c r="J58" s="15" t="n">
        <f aca="false">Inputs!J131</f>
        <v>0.041</v>
      </c>
      <c r="K58" s="15" t="n">
        <f aca="false">Inputs!K131</f>
        <v>0.039</v>
      </c>
      <c r="L58" s="15" t="n">
        <f aca="false">Inputs!L131</f>
        <v>0.037</v>
      </c>
      <c r="M58" s="15" t="n">
        <f aca="false">Inputs!M131</f>
        <v>0.035</v>
      </c>
      <c r="N58" s="15" t="n">
        <f aca="false">Inputs!N131</f>
        <v>0.034</v>
      </c>
    </row>
    <row r="59" customFormat="false" ht="15" hidden="false" customHeight="false" outlineLevel="0" collapsed="false">
      <c r="A59" s="7" t="s">
        <v>98</v>
      </c>
      <c r="B59" s="2" t="s">
        <v>147</v>
      </c>
      <c r="C59" s="8" t="n">
        <f aca="false">Historicals!B26</f>
        <v>147</v>
      </c>
      <c r="D59" s="8" t="n">
        <f aca="false">Historicals!C26</f>
        <v>177</v>
      </c>
      <c r="E59" s="19" t="n">
        <f aca="false">E47*E60</f>
        <v>234.60183505</v>
      </c>
      <c r="F59" s="19" t="n">
        <f aca="false">F47*F60</f>
        <v>296.8281772144</v>
      </c>
      <c r="G59" s="19" t="n">
        <f aca="false">G47*G60</f>
        <v>361.06646796275</v>
      </c>
      <c r="H59" s="19" t="n">
        <f aca="false">H47*H60</f>
        <v>406.124554125391</v>
      </c>
      <c r="I59" s="19" t="n">
        <f aca="false">I47*I60</f>
        <v>447.625991306309</v>
      </c>
      <c r="J59" s="19" t="n">
        <f aca="false">J47*J60</f>
        <v>496.696799600559</v>
      </c>
      <c r="K59" s="19" t="n">
        <f aca="false">K47*K60</f>
        <v>542.384040391712</v>
      </c>
      <c r="L59" s="19" t="n">
        <f aca="false">L47*L60</f>
        <v>584.44437245229</v>
      </c>
      <c r="M59" s="19" t="n">
        <f aca="false">M47*M60</f>
        <v>622.683223090293</v>
      </c>
      <c r="N59" s="19" t="n">
        <f aca="false">N47*N60</f>
        <v>656.29686338682</v>
      </c>
    </row>
    <row r="60" customFormat="false" ht="15" hidden="false" customHeight="false" outlineLevel="0" collapsed="false">
      <c r="A60" s="7" t="s">
        <v>321</v>
      </c>
      <c r="B60" s="2" t="s">
        <v>155</v>
      </c>
      <c r="C60" s="14" t="n">
        <f aca="false">C59/C47</f>
        <v>0.0525563103324991</v>
      </c>
      <c r="D60" s="14" t="n">
        <f aca="false">D59/D47</f>
        <v>0.0525222551928783</v>
      </c>
      <c r="E60" s="15" t="n">
        <f aca="false">Inputs!E134</f>
        <v>0.055</v>
      </c>
      <c r="F60" s="15" t="n">
        <f aca="false">Inputs!F134</f>
        <v>0.052</v>
      </c>
      <c r="G60" s="15" t="n">
        <f aca="false">Inputs!G134</f>
        <v>0.05</v>
      </c>
      <c r="H60" s="15" t="n">
        <f aca="false">Inputs!H134</f>
        <v>0.048</v>
      </c>
      <c r="I60" s="15" t="n">
        <f aca="false">Inputs!I134</f>
        <v>0.046</v>
      </c>
      <c r="J60" s="15" t="n">
        <f aca="false">Inputs!J134</f>
        <v>0.045</v>
      </c>
      <c r="K60" s="15" t="n">
        <f aca="false">Inputs!K134</f>
        <v>0.044</v>
      </c>
      <c r="L60" s="15" t="n">
        <f aca="false">Inputs!L134</f>
        <v>0.043</v>
      </c>
      <c r="M60" s="15" t="n">
        <f aca="false">Inputs!M134</f>
        <v>0.042</v>
      </c>
      <c r="N60" s="15" t="n">
        <f aca="false">Inputs!N134</f>
        <v>0.041</v>
      </c>
    </row>
    <row r="61" customFormat="false" ht="15" hidden="false" customHeight="false" outlineLevel="0" collapsed="false">
      <c r="A61" s="9" t="s">
        <v>322</v>
      </c>
      <c r="B61" s="41" t="s">
        <v>147</v>
      </c>
      <c r="C61" s="43" t="n">
        <f aca="false">C52-C57-C59</f>
        <v>-113</v>
      </c>
      <c r="D61" s="43" t="n">
        <f aca="false">D52-D57-D59</f>
        <v>82</v>
      </c>
      <c r="E61" s="43" t="n">
        <f aca="false">E52-E57-E59</f>
        <v>249.6795133</v>
      </c>
      <c r="F61" s="43" t="n">
        <f aca="false">F52-F57-F59</f>
        <v>591.5900518852</v>
      </c>
      <c r="G61" s="43" t="n">
        <f aca="false">G52-G57-G59</f>
        <v>1083.71533859525</v>
      </c>
      <c r="H61" s="43" t="n">
        <f aca="false">H52-H57-H59</f>
        <v>1524.53975256558</v>
      </c>
      <c r="I61" s="43" t="n">
        <f aca="false">I52-I57-I59</f>
        <v>1973.79573832014</v>
      </c>
      <c r="J61" s="43" t="n">
        <f aca="false">J52-J57-J59</f>
        <v>2409.07734251907</v>
      </c>
      <c r="K61" s="43" t="n">
        <f aca="false">K52-K57-K59</f>
        <v>2852.44323770241</v>
      </c>
      <c r="L61" s="43" t="n">
        <f aca="false">L52-L57-L59</f>
        <v>3285.0228393913</v>
      </c>
      <c r="M61" s="43" t="n">
        <f aca="false">M52-M57-M59</f>
        <v>3696.41843967093</v>
      </c>
      <c r="N61" s="43" t="n">
        <f aca="false">N52-N57-N59</f>
        <v>4038.72807935606</v>
      </c>
    </row>
    <row r="62" customFormat="false" ht="15" hidden="false" customHeight="false" outlineLevel="0" collapsed="false">
      <c r="A62" s="7" t="s">
        <v>323</v>
      </c>
      <c r="B62" s="2" t="s">
        <v>147</v>
      </c>
      <c r="C62" s="8" t="n">
        <f aca="false">Historicals!B28</f>
        <v>58</v>
      </c>
      <c r="D62" s="8" t="n">
        <f aca="false">Historicals!C28</f>
        <v>89</v>
      </c>
      <c r="E62" s="19" t="n">
        <f aca="false">MAX(Inputs!$B$22*E61,Inputs!$B$29*E52)</f>
        <v>91.3845675</v>
      </c>
      <c r="F62" s="19" t="n">
        <f aca="false">MAX(Inputs!$B$22*F61,Inputs!$B$29*F52)</f>
        <v>145.654509264</v>
      </c>
      <c r="G62" s="19" t="n">
        <f aca="false">MAX(Inputs!$B$22*G61,Inputs!$B$29*G52)</f>
        <v>227.580221105001</v>
      </c>
      <c r="H62" s="19" t="n">
        <f aca="false">MAX(Inputs!$B$22*H61,Inputs!$B$29*H52)</f>
        <v>320.153348038773</v>
      </c>
      <c r="I62" s="19" t="n">
        <f aca="false">MAX(Inputs!$B$22*I61,Inputs!$B$29*I52)</f>
        <v>414.49710504723</v>
      </c>
      <c r="J62" s="19" t="n">
        <f aca="false">MAX(Inputs!$B$22*J61,Inputs!$B$29*J52)</f>
        <v>505.906241929005</v>
      </c>
      <c r="K62" s="19" t="n">
        <f aca="false">MAX(Inputs!$B$22*K61,Inputs!$B$29*K52)</f>
        <v>599.013079917506</v>
      </c>
      <c r="L62" s="19" t="n">
        <f aca="false">MAX(Inputs!$B$22*L61,Inputs!$B$29*L52)</f>
        <v>689.854796272173</v>
      </c>
      <c r="M62" s="19" t="n">
        <f aca="false">MAX(Inputs!$B$22*M61,Inputs!$B$29*M52)</f>
        <v>776.247872330896</v>
      </c>
      <c r="N62" s="19" t="n">
        <f aca="false">MAX(Inputs!$B$22*N61,Inputs!$B$29*N52)</f>
        <v>848.132896664773</v>
      </c>
      <c r="O62" s="2" t="s">
        <v>324</v>
      </c>
    </row>
    <row r="63" customFormat="false" ht="15" hidden="false" customHeight="false" outlineLevel="0" collapsed="false">
      <c r="A63" s="7" t="s">
        <v>325</v>
      </c>
      <c r="B63" s="2" t="s">
        <v>147</v>
      </c>
      <c r="C63" s="8" t="n">
        <f aca="false">Historicals!B27</f>
        <v>149</v>
      </c>
      <c r="D63" s="8" t="n">
        <f aca="false">Historicals!C27</f>
        <v>188</v>
      </c>
      <c r="E63" s="19" t="n">
        <f aca="false">E47*E64</f>
        <v>200.47793177</v>
      </c>
      <c r="F63" s="19" t="n">
        <f aca="false">F47*F64</f>
        <v>256.870537974</v>
      </c>
      <c r="G63" s="19" t="n">
        <f aca="false">G47*G64</f>
        <v>317.73849180722</v>
      </c>
      <c r="H63" s="19" t="n">
        <f aca="false">H47*H64</f>
        <v>363.819913070663</v>
      </c>
      <c r="I63" s="19" t="n">
        <f aca="false">I47*I64</f>
        <v>408.701992062282</v>
      </c>
      <c r="J63" s="19" t="n">
        <f aca="false">J47*J64</f>
        <v>452.545972969399</v>
      </c>
      <c r="K63" s="19" t="n">
        <f aca="false">K47*K64</f>
        <v>493.076400356102</v>
      </c>
      <c r="L63" s="19" t="n">
        <f aca="false">L47*L64</f>
        <v>530.077454084635</v>
      </c>
      <c r="M63" s="19" t="n">
        <f aca="false">M47*M64</f>
        <v>578.205850012415</v>
      </c>
      <c r="N63" s="19" t="n">
        <f aca="false">N47*N64</f>
        <v>624.282382246</v>
      </c>
    </row>
    <row r="64" customFormat="false" ht="15" hidden="false" customHeight="false" outlineLevel="0" collapsed="false">
      <c r="A64" s="7" t="s">
        <v>321</v>
      </c>
      <c r="B64" s="2" t="s">
        <v>155</v>
      </c>
      <c r="C64" s="14" t="n">
        <f aca="false">C63/C47</f>
        <v>0.0532713621737576</v>
      </c>
      <c r="D64" s="14" t="n">
        <f aca="false">D63/D47</f>
        <v>0.055786350148368</v>
      </c>
      <c r="E64" s="15" t="n">
        <f aca="false">Inputs!E137</f>
        <v>0.047</v>
      </c>
      <c r="F64" s="15" t="n">
        <f aca="false">Inputs!F137</f>
        <v>0.045</v>
      </c>
      <c r="G64" s="15" t="n">
        <f aca="false">Inputs!G137</f>
        <v>0.044</v>
      </c>
      <c r="H64" s="15" t="n">
        <f aca="false">Inputs!H137</f>
        <v>0.043</v>
      </c>
      <c r="I64" s="15" t="n">
        <f aca="false">Inputs!I137</f>
        <v>0.042</v>
      </c>
      <c r="J64" s="15" t="n">
        <f aca="false">Inputs!J137</f>
        <v>0.041</v>
      </c>
      <c r="K64" s="15" t="n">
        <f aca="false">Inputs!K137</f>
        <v>0.04</v>
      </c>
      <c r="L64" s="15" t="n">
        <f aca="false">Inputs!L137</f>
        <v>0.039</v>
      </c>
      <c r="M64" s="15" t="n">
        <f aca="false">Inputs!M137</f>
        <v>0.039</v>
      </c>
      <c r="N64" s="15" t="n">
        <f aca="false">Inputs!N137</f>
        <v>0.039</v>
      </c>
    </row>
    <row r="65" customFormat="false" ht="15" hidden="false" customHeight="false" outlineLevel="0" collapsed="false">
      <c r="A65" s="7" t="s">
        <v>326</v>
      </c>
      <c r="B65" s="2" t="s">
        <v>147</v>
      </c>
      <c r="E65" s="19" t="n">
        <f aca="false">Inputs!$B$31*(E47-D47)</f>
        <v>0</v>
      </c>
      <c r="F65" s="19" t="n">
        <f aca="false">Inputs!$B$31*(F47-E47)</f>
        <v>0</v>
      </c>
      <c r="G65" s="19" t="n">
        <f aca="false">Inputs!$B$31*(G47-F47)</f>
        <v>0</v>
      </c>
      <c r="H65" s="19" t="n">
        <f aca="false">Inputs!$B$31*(H47-G47)</f>
        <v>0</v>
      </c>
      <c r="I65" s="19" t="n">
        <f aca="false">Inputs!$B$31*(I47-H47)</f>
        <v>0</v>
      </c>
      <c r="J65" s="19" t="n">
        <f aca="false">Inputs!$B$31*(J47-I47)</f>
        <v>0</v>
      </c>
      <c r="K65" s="19" t="n">
        <f aca="false">Inputs!$B$31*(K47-J47)</f>
        <v>0</v>
      </c>
      <c r="L65" s="19" t="n">
        <f aca="false">Inputs!$B$31*(L47-K47)</f>
        <v>0</v>
      </c>
      <c r="M65" s="19" t="n">
        <f aca="false">Inputs!$B$31*(M47-L47)</f>
        <v>0</v>
      </c>
      <c r="N65" s="19" t="n">
        <f aca="false">Inputs!$B$31*(N47-M47)</f>
        <v>0</v>
      </c>
    </row>
    <row r="66" customFormat="false" ht="15" hidden="false" customHeight="false" outlineLevel="0" collapsed="false">
      <c r="A66" s="7" t="s">
        <v>327</v>
      </c>
      <c r="B66" s="2" t="s">
        <v>147</v>
      </c>
      <c r="C66" s="8" t="n">
        <f aca="false">Historicals!B31</f>
        <v>586</v>
      </c>
      <c r="D66" s="8" t="n">
        <f aca="false">Historicals!C31</f>
        <v>1278</v>
      </c>
      <c r="E66" s="19" t="n">
        <f aca="false">D66*(1+E67)</f>
        <v>3169.44</v>
      </c>
      <c r="F66" s="19" t="n">
        <f aca="false">E66*(1+F67)</f>
        <v>4500.6048</v>
      </c>
      <c r="G66" s="19" t="n">
        <f aca="false">F66*(1+G67)</f>
        <v>6075.81648</v>
      </c>
      <c r="H66" s="19" t="n">
        <f aca="false">G66*(1+H67)</f>
        <v>7655.5287648</v>
      </c>
      <c r="I66" s="19" t="n">
        <f aca="false">H66*(1+I67)</f>
        <v>9263.189805408</v>
      </c>
      <c r="J66" s="19" t="n">
        <f aca="false">I66*(1+J67)</f>
        <v>10930.5639703814</v>
      </c>
      <c r="K66" s="19" t="n">
        <f aca="false">J66*(1+K67)</f>
        <v>12570.1485659387</v>
      </c>
      <c r="L66" s="19" t="n">
        <f aca="false">K66*(1+L67)</f>
        <v>14078.5663938513</v>
      </c>
      <c r="M66" s="19" t="n">
        <f aca="false">L66*(1+M67)</f>
        <v>15486.4230332364</v>
      </c>
      <c r="N66" s="19" t="n">
        <f aca="false">M66*(1+N67)</f>
        <v>16880.2011062277</v>
      </c>
    </row>
    <row r="67" customFormat="false" ht="15" hidden="false" customHeight="false" outlineLevel="0" collapsed="false">
      <c r="A67" s="7" t="s">
        <v>48</v>
      </c>
      <c r="B67" s="2" t="s">
        <v>155</v>
      </c>
      <c r="D67" s="14" t="n">
        <f aca="false">D66/C66-1</f>
        <v>1.18088737201365</v>
      </c>
      <c r="E67" s="15" t="n">
        <f aca="false">Inputs!E110</f>
        <v>1.48</v>
      </c>
      <c r="F67" s="15" t="n">
        <f aca="false">Inputs!F110</f>
        <v>0.42</v>
      </c>
      <c r="G67" s="15" t="n">
        <f aca="false">Inputs!G110</f>
        <v>0.35</v>
      </c>
      <c r="H67" s="15" t="n">
        <f aca="false">Inputs!H110</f>
        <v>0.26</v>
      </c>
      <c r="I67" s="15" t="n">
        <f aca="false">Inputs!I110</f>
        <v>0.21</v>
      </c>
      <c r="J67" s="15" t="n">
        <f aca="false">Inputs!J110</f>
        <v>0.18</v>
      </c>
      <c r="K67" s="15" t="n">
        <f aca="false">Inputs!K110</f>
        <v>0.15</v>
      </c>
      <c r="L67" s="15" t="n">
        <f aca="false">Inputs!L110</f>
        <v>0.12</v>
      </c>
      <c r="M67" s="15" t="n">
        <f aca="false">Inputs!M110</f>
        <v>0.1</v>
      </c>
      <c r="N67" s="15" t="n">
        <f aca="false">Inputs!N110</f>
        <v>0.09</v>
      </c>
    </row>
    <row r="68" customFormat="false" ht="15" hidden="false" customHeight="false" outlineLevel="0" collapsed="false">
      <c r="A68" s="7" t="s">
        <v>328</v>
      </c>
      <c r="B68" s="2" t="s">
        <v>147</v>
      </c>
      <c r="E68" s="8" t="n">
        <f aca="false">Inputs!$B$35</f>
        <v>756</v>
      </c>
      <c r="F68" s="8" t="n">
        <f aca="false">0</f>
        <v>0</v>
      </c>
      <c r="G68" s="8" t="n">
        <f aca="false">0</f>
        <v>0</v>
      </c>
      <c r="H68" s="8" t="n">
        <f aca="false">0</f>
        <v>0</v>
      </c>
      <c r="I68" s="8" t="n">
        <f aca="false">0</f>
        <v>0</v>
      </c>
      <c r="J68" s="8" t="n">
        <f aca="false">0</f>
        <v>0</v>
      </c>
      <c r="K68" s="8" t="n">
        <f aca="false">0</f>
        <v>0</v>
      </c>
      <c r="L68" s="8" t="n">
        <f aca="false">0</f>
        <v>0</v>
      </c>
      <c r="M68" s="8" t="n">
        <f aca="false">0</f>
        <v>0</v>
      </c>
      <c r="N68" s="8" t="n">
        <f aca="false">0</f>
        <v>0</v>
      </c>
      <c r="O68" s="2" t="s">
        <v>329</v>
      </c>
    </row>
    <row r="69" customFormat="false" ht="15" hidden="false" customHeight="false" outlineLevel="0" collapsed="false">
      <c r="A69" s="7" t="s">
        <v>330</v>
      </c>
      <c r="B69" s="2" t="s">
        <v>147</v>
      </c>
      <c r="E69" s="19" t="n">
        <f aca="false">IF(E36&gt;0,Inputs!E122,0)</f>
        <v>0</v>
      </c>
      <c r="F69" s="19" t="n">
        <f aca="false">IF(F36&gt;0,Inputs!F122,0)</f>
        <v>1350</v>
      </c>
      <c r="G69" s="19" t="n">
        <f aca="false">IF(G36&gt;0,Inputs!G122,0)</f>
        <v>1800</v>
      </c>
      <c r="H69" s="19" t="n">
        <f aca="false">IF(H36&gt;0,Inputs!H122,0)</f>
        <v>2200</v>
      </c>
      <c r="I69" s="19" t="n">
        <f aca="false">IF(I36&gt;0,Inputs!I122,0)</f>
        <v>2580</v>
      </c>
      <c r="J69" s="19" t="n">
        <f aca="false">IF(J36&gt;0,Inputs!J122,0)</f>
        <v>2910</v>
      </c>
      <c r="K69" s="19" t="n">
        <f aca="false">IF(K36&gt;0,Inputs!K122,0)</f>
        <v>3200</v>
      </c>
      <c r="L69" s="19" t="n">
        <f aca="false">IF(L36&gt;0,Inputs!L122,0)</f>
        <v>3460</v>
      </c>
      <c r="M69" s="19" t="n">
        <f aca="false">IF(M36&gt;0,Inputs!M122,0)</f>
        <v>3700</v>
      </c>
      <c r="N69" s="19" t="n">
        <f aca="false">IF(N36&gt;0,Inputs!N122,0)</f>
        <v>3920</v>
      </c>
    </row>
    <row r="70" customFormat="false" ht="15" hidden="false" customHeight="false" outlineLevel="0" collapsed="false">
      <c r="A70" s="7" t="s">
        <v>54</v>
      </c>
      <c r="B70" s="2" t="s">
        <v>147</v>
      </c>
      <c r="C70" s="19" t="n">
        <f aca="false">C66</f>
        <v>586</v>
      </c>
      <c r="D70" s="19" t="n">
        <f aca="false">D66</f>
        <v>1278</v>
      </c>
      <c r="E70" s="19" t="n">
        <f aca="false">E66+E69</f>
        <v>3169.44</v>
      </c>
      <c r="F70" s="19" t="n">
        <f aca="false">F66+F69</f>
        <v>5850.6048</v>
      </c>
      <c r="G70" s="19" t="n">
        <f aca="false">G66+G69</f>
        <v>7875.81648</v>
      </c>
      <c r="H70" s="19" t="n">
        <f aca="false">H66+H69</f>
        <v>9855.5287648</v>
      </c>
      <c r="I70" s="19" t="n">
        <f aca="false">I66+I69</f>
        <v>11843.189805408</v>
      </c>
      <c r="J70" s="19" t="n">
        <f aca="false">J66+J69</f>
        <v>13840.5639703814</v>
      </c>
      <c r="K70" s="19" t="n">
        <f aca="false">K66+K69</f>
        <v>15770.1485659387</v>
      </c>
      <c r="L70" s="19" t="n">
        <f aca="false">L66+L69</f>
        <v>17538.5663938513</v>
      </c>
      <c r="M70" s="19" t="n">
        <f aca="false">M66+M69</f>
        <v>19186.4230332364</v>
      </c>
      <c r="N70" s="19" t="n">
        <f aca="false">N66+N69</f>
        <v>20800.2011062277</v>
      </c>
    </row>
    <row r="71" customFormat="false" ht="15" hidden="false" customHeight="false" outlineLevel="0" collapsed="false">
      <c r="A71" s="7" t="s">
        <v>331</v>
      </c>
      <c r="B71" s="2" t="s">
        <v>147</v>
      </c>
      <c r="E71" s="19" t="n">
        <f aca="false">Inputs!$B$30*((E66-D66-E68)+IF(D69&gt;0,E69-D69,0))</f>
        <v>170.316</v>
      </c>
      <c r="F71" s="19" t="n">
        <f aca="false">Inputs!$B$30*((F66-E66-F68)+IF(E69&gt;0,F69-E69,0))</f>
        <v>199.67472</v>
      </c>
      <c r="G71" s="19" t="n">
        <f aca="false">Inputs!$B$30*((G66-F66-G68)+IF(F69&gt;0,G69-F69,0))</f>
        <v>303.781752</v>
      </c>
      <c r="H71" s="19" t="n">
        <f aca="false">Inputs!$B$30*((H66-G66-H68)+IF(G69&gt;0,H69-G69,0))</f>
        <v>296.95684272</v>
      </c>
      <c r="I71" s="19" t="n">
        <f aca="false">Inputs!$B$30*((I66-H66-I68)+IF(H69&gt;0,I69-H69,0))</f>
        <v>298.1491560912</v>
      </c>
      <c r="J71" s="19" t="n">
        <f aca="false">Inputs!$B$30*((J66-I66-J68)+IF(I69&gt;0,J69-I69,0))</f>
        <v>299.606124746016</v>
      </c>
      <c r="K71" s="19" t="n">
        <f aca="false">Inputs!$B$30*((K66-J66-K68)+IF(J69&gt;0,K69-J69,0))</f>
        <v>289.437689333582</v>
      </c>
      <c r="L71" s="19" t="n">
        <f aca="false">Inputs!$B$30*((L66-K66-L68)+IF(K69&gt;0,L69-K69,0))</f>
        <v>265.262674186896</v>
      </c>
      <c r="M71" s="19" t="n">
        <f aca="false">Inputs!$B$30*((M66-L66-M68)+IF(L69&gt;0,M69-L69,0))</f>
        <v>247.17849590777</v>
      </c>
      <c r="N71" s="19" t="n">
        <f aca="false">Inputs!$B$30*((N66-M66-N68)+IF(M69&gt;0,N69-M69,0))</f>
        <v>242.066710948692</v>
      </c>
      <c r="O71" s="2" t="s">
        <v>332</v>
      </c>
    </row>
    <row r="72" customFormat="false" ht="15" hidden="false" customHeight="false" outlineLevel="0" collapsed="false">
      <c r="A72" s="7" t="s">
        <v>333</v>
      </c>
      <c r="B72" s="2" t="s">
        <v>155</v>
      </c>
      <c r="E72" s="15" t="n">
        <f aca="false">Inputs!E125</f>
        <v>0</v>
      </c>
      <c r="F72" s="15" t="n">
        <f aca="false">Inputs!F125</f>
        <v>0.4</v>
      </c>
      <c r="G72" s="15" t="n">
        <f aca="false">Inputs!G125</f>
        <v>0.4</v>
      </c>
      <c r="H72" s="15" t="n">
        <f aca="false">Inputs!H125</f>
        <v>0.2</v>
      </c>
      <c r="I72" s="15" t="n">
        <f aca="false">Inputs!I125</f>
        <v>0</v>
      </c>
      <c r="J72" s="15" t="n">
        <f aca="false">Inputs!J125</f>
        <v>0</v>
      </c>
      <c r="K72" s="15" t="n">
        <f aca="false">Inputs!K125</f>
        <v>0</v>
      </c>
      <c r="L72" s="15" t="n">
        <f aca="false">Inputs!L125</f>
        <v>0</v>
      </c>
      <c r="M72" s="15" t="n">
        <f aca="false">Inputs!M125</f>
        <v>0</v>
      </c>
      <c r="N72" s="15" t="n">
        <f aca="false">Inputs!N125</f>
        <v>0</v>
      </c>
    </row>
    <row r="73" customFormat="false" ht="15" hidden="false" customHeight="false" outlineLevel="0" collapsed="false">
      <c r="A73" s="7" t="s">
        <v>334</v>
      </c>
      <c r="B73" s="2" t="s">
        <v>147</v>
      </c>
      <c r="E73" s="19" t="n">
        <f aca="false">E72*E39*(1-Inputs!$B$22)</f>
        <v>0</v>
      </c>
      <c r="F73" s="19" t="n">
        <f aca="false">F72*F39*(1-Inputs!$B$22)</f>
        <v>18.328</v>
      </c>
      <c r="G73" s="19" t="n">
        <f aca="false">G72*G39*(1-Inputs!$B$22)</f>
        <v>67.2448</v>
      </c>
      <c r="H73" s="19" t="n">
        <f aca="false">H72*H39*(1-Inputs!$B$22)</f>
        <v>43.608</v>
      </c>
      <c r="I73" s="19" t="n">
        <f aca="false">I72*I39*(1-Inputs!$B$22)</f>
        <v>0</v>
      </c>
      <c r="J73" s="19" t="n">
        <f aca="false">J72*J39*(1-Inputs!$B$22)</f>
        <v>0</v>
      </c>
      <c r="K73" s="19" t="n">
        <f aca="false">K72*K39*(1-Inputs!$B$22)</f>
        <v>0</v>
      </c>
      <c r="L73" s="19" t="n">
        <f aca="false">L72*L39*(1-Inputs!$B$22)</f>
        <v>0</v>
      </c>
      <c r="M73" s="19" t="n">
        <f aca="false">M72*M39*(1-Inputs!$B$22)</f>
        <v>0</v>
      </c>
      <c r="N73" s="19" t="n">
        <f aca="false">N72*N39*(1-Inputs!$B$22)</f>
        <v>0</v>
      </c>
    </row>
    <row r="74" customFormat="false" ht="15" hidden="false" customHeight="false" outlineLevel="0" collapsed="false">
      <c r="A74" s="9" t="s">
        <v>335</v>
      </c>
      <c r="B74" s="41" t="s">
        <v>147</v>
      </c>
      <c r="C74" s="45"/>
      <c r="D74" s="45"/>
      <c r="E74" s="43" t="n">
        <f aca="false">E52-E57-E62-E63-E65-E71-E73</f>
        <v>22.10284908</v>
      </c>
      <c r="F74" s="43" t="n">
        <f aca="false">F52-F57-F62-F63-F65-F71-F73</f>
        <v>267.8904618616</v>
      </c>
      <c r="G74" s="43" t="n">
        <f aca="false">G52-G57-G62-G63-G65-G71-G73</f>
        <v>528.436541645773</v>
      </c>
      <c r="H74" s="43" t="n">
        <f aca="false">H52-H57-H62-H63-H65-H71-H73</f>
        <v>906.126202861539</v>
      </c>
      <c r="I74" s="43" t="n">
        <f aca="false">I52-I57-I62-I63-I65-I71-I73</f>
        <v>1300.07347642574</v>
      </c>
      <c r="J74" s="43" t="n">
        <f aca="false">J52-J57-J62-J63-J65-J71-J73</f>
        <v>1647.71580247521</v>
      </c>
      <c r="K74" s="43" t="n">
        <f aca="false">K52-K57-K62-K63-K65-K71-K73</f>
        <v>2013.30010848693</v>
      </c>
      <c r="L74" s="43" t="n">
        <f aca="false">L52-L57-L62-L63-L65-L71-L73</f>
        <v>2384.27228729989</v>
      </c>
      <c r="M74" s="43" t="n">
        <f aca="false">M52-M57-M62-M63-M65-M71-M73</f>
        <v>2717.46944451014</v>
      </c>
      <c r="N74" s="43" t="n">
        <f aca="false">N52-N57-N62-N63-N65-N71-N73</f>
        <v>2980.54295288342</v>
      </c>
    </row>
    <row r="75" customFormat="false" ht="15" hidden="false" customHeight="false" outlineLevel="0" collapsed="false">
      <c r="A75" s="7" t="s">
        <v>336</v>
      </c>
      <c r="B75" s="2" t="s">
        <v>155</v>
      </c>
      <c r="E75" s="14" t="n">
        <f aca="false">IF(E52=0,0,E74/E52)</f>
        <v>0.0290239584446247</v>
      </c>
      <c r="F75" s="14" t="n">
        <f aca="false">IF(F52=0,0,F74/F52)</f>
        <v>0.22070621490424</v>
      </c>
      <c r="G75" s="14" t="n">
        <f aca="false">IF(G52=0,0,G74/G52)</f>
        <v>0.291459600069909</v>
      </c>
      <c r="H75" s="14" t="n">
        <f aca="false">IF(H52=0,0,H74/H52)</f>
        <v>0.389174647682715</v>
      </c>
      <c r="I75" s="14" t="n">
        <f aca="false">IF(I52=0,0,I74/I52)</f>
        <v>0.456232450458706</v>
      </c>
      <c r="J75" s="14" t="n">
        <f aca="false">IF(J52=0,0,J74/J52)</f>
        <v>0.490636909528659</v>
      </c>
      <c r="K75" s="14" t="n">
        <f aca="false">IF(K52=0,0,K74/K52)</f>
        <v>0.519483996519217</v>
      </c>
      <c r="L75" s="14" t="n">
        <f aca="false">IF(L52=0,0,L74/L52)</f>
        <v>0.54530542527505</v>
      </c>
      <c r="M75" s="14" t="n">
        <f aca="false">IF(M52=0,0,M74/M52)</f>
        <v>0.561692228585389</v>
      </c>
      <c r="N75" s="14" t="n">
        <f aca="false">IF(N52=0,0,N74/N52)</f>
        <v>0.568885038281395</v>
      </c>
    </row>
    <row r="76" customFormat="false" ht="15" hidden="false" customHeight="false" outlineLevel="0" collapsed="false">
      <c r="A76" s="3" t="s">
        <v>337</v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customFormat="false" ht="15" hidden="false" customHeight="false" outlineLevel="0" collapsed="false">
      <c r="A77" s="7" t="s">
        <v>338</v>
      </c>
      <c r="B77" s="2" t="s">
        <v>160</v>
      </c>
      <c r="E77" s="44" t="n">
        <f aca="false">Inputs!$B$32</f>
        <v>0.5</v>
      </c>
      <c r="F77" s="44" t="n">
        <f aca="false">1</f>
        <v>1</v>
      </c>
      <c r="G77" s="44" t="n">
        <f aca="false">1</f>
        <v>1</v>
      </c>
      <c r="H77" s="44" t="n">
        <f aca="false">1</f>
        <v>1</v>
      </c>
      <c r="I77" s="44" t="n">
        <f aca="false">1</f>
        <v>1</v>
      </c>
      <c r="J77" s="44" t="n">
        <f aca="false">1</f>
        <v>1</v>
      </c>
      <c r="K77" s="44" t="n">
        <f aca="false">1</f>
        <v>1</v>
      </c>
      <c r="L77" s="44" t="n">
        <f aca="false">1</f>
        <v>1</v>
      </c>
      <c r="M77" s="44" t="n">
        <f aca="false">1</f>
        <v>1</v>
      </c>
      <c r="N77" s="44" t="n">
        <f aca="false">1</f>
        <v>1</v>
      </c>
    </row>
    <row r="78" customFormat="false" ht="15" hidden="false" customHeight="false" outlineLevel="0" collapsed="false">
      <c r="A78" s="7" t="s">
        <v>339</v>
      </c>
      <c r="B78" s="2" t="s">
        <v>340</v>
      </c>
      <c r="E78" s="46" t="n">
        <f aca="false">Inputs!$B$33</f>
        <v>0</v>
      </c>
      <c r="F78" s="46" t="n">
        <f aca="false">Inputs!$B$7+0.5</f>
        <v>0.71</v>
      </c>
      <c r="G78" s="46" t="n">
        <f aca="false">F78+1</f>
        <v>1.71</v>
      </c>
      <c r="H78" s="46" t="n">
        <f aca="false">G78+1</f>
        <v>2.71</v>
      </c>
      <c r="I78" s="46" t="n">
        <f aca="false">H78+1</f>
        <v>3.71</v>
      </c>
      <c r="J78" s="46" t="n">
        <f aca="false">I78+1</f>
        <v>4.71</v>
      </c>
      <c r="K78" s="46" t="n">
        <f aca="false">J78+1</f>
        <v>5.71</v>
      </c>
      <c r="L78" s="46" t="n">
        <f aca="false">K78+1</f>
        <v>6.71</v>
      </c>
      <c r="M78" s="46" t="n">
        <f aca="false">L78+1</f>
        <v>7.71</v>
      </c>
      <c r="N78" s="46" t="n">
        <f aca="false">M78+1</f>
        <v>8.71</v>
      </c>
    </row>
    <row r="79" customFormat="false" ht="15" hidden="false" customHeight="false" outlineLevel="0" collapsed="false">
      <c r="A79" s="7" t="s">
        <v>341</v>
      </c>
      <c r="B79" s="2" t="s">
        <v>160</v>
      </c>
      <c r="E79" s="47" t="n">
        <f aca="false">1/(1+Inputs!$B$24)^E78</f>
        <v>1</v>
      </c>
      <c r="F79" s="47" t="n">
        <f aca="false">1/(1+Inputs!$B$24)^F78</f>
        <v>0.92286714597987</v>
      </c>
      <c r="G79" s="47" t="n">
        <f aca="false">1/(1+Inputs!$B$24)^G78</f>
        <v>0.824212974050853</v>
      </c>
      <c r="H79" s="47" t="n">
        <f aca="false">1/(1+Inputs!$B$24)^H78</f>
        <v>0.736104898254304</v>
      </c>
      <c r="I79" s="47" t="n">
        <f aca="false">1/(1+Inputs!$B$24)^I78</f>
        <v>0.657415544638767</v>
      </c>
      <c r="J79" s="47" t="n">
        <f aca="false">1/(1+Inputs!$B$24)^J78</f>
        <v>0.587138055129984</v>
      </c>
      <c r="K79" s="47" t="n">
        <f aca="false">1/(1+Inputs!$B$24)^K78</f>
        <v>0.524373204426191</v>
      </c>
      <c r="L79" s="47" t="n">
        <f aca="false">1/(1+Inputs!$B$24)^L78</f>
        <v>0.468317894092758</v>
      </c>
      <c r="M79" s="47" t="n">
        <f aca="false">1/(1+Inputs!$B$24)^M78</f>
        <v>0.418254876634046</v>
      </c>
      <c r="N79" s="47" t="n">
        <f aca="false">1/(1+Inputs!$B$24)^N78</f>
        <v>0.373543578058352</v>
      </c>
    </row>
    <row r="80" customFormat="false" ht="15" hidden="false" customHeight="false" outlineLevel="0" collapsed="false">
      <c r="A80" s="7" t="s">
        <v>342</v>
      </c>
      <c r="B80" s="2" t="s">
        <v>147</v>
      </c>
      <c r="E80" s="19" t="n">
        <f aca="false">E74*E77*E79</f>
        <v>11.05142454</v>
      </c>
      <c r="F80" s="19" t="n">
        <f aca="false">F74*F77*F79</f>
        <v>247.227305973444</v>
      </c>
      <c r="G80" s="19" t="n">
        <f aca="false">G74*G77*G79</f>
        <v>435.54425358701</v>
      </c>
      <c r="H80" s="19" t="n">
        <f aca="false">H74*H77*H79</f>
        <v>667.003936362952</v>
      </c>
      <c r="I80" s="19" t="n">
        <f aca="false">I74*I77*I79</f>
        <v>854.688512574843</v>
      </c>
      <c r="J80" s="19" t="n">
        <f aca="false">J74*J77*J79</f>
        <v>967.436651672237</v>
      </c>
      <c r="K80" s="19" t="n">
        <f aca="false">K74*K77*K79</f>
        <v>1055.72062935889</v>
      </c>
      <c r="L80" s="19" t="n">
        <f aca="false">L74*L77*L79</f>
        <v>1116.59737653201</v>
      </c>
      <c r="M80" s="19" t="n">
        <f aca="false">M74*M77*M79</f>
        <v>1136.59484727038</v>
      </c>
      <c r="N80" s="19" t="n">
        <f aca="false">N74*N77*N79</f>
        <v>1113.36267917668</v>
      </c>
    </row>
    <row r="82" customFormat="false" ht="15" hidden="false" customHeight="false" outlineLevel="0" collapsed="false">
      <c r="A82" s="7" t="s">
        <v>343</v>
      </c>
      <c r="D82" s="19" t="n">
        <f aca="false">SUM(E80:N80)</f>
        <v>7605.22761704844</v>
      </c>
    </row>
    <row r="83" customFormat="false" ht="15" hidden="false" customHeight="false" outlineLevel="0" collapsed="false">
      <c r="A83" s="7" t="s">
        <v>344</v>
      </c>
      <c r="D83" s="19" t="n">
        <f aca="false">N74*(1+Inputs!$B$25)</f>
        <v>3099.76467099875</v>
      </c>
    </row>
    <row r="84" customFormat="false" ht="15" hidden="false" customHeight="false" outlineLevel="0" collapsed="false">
      <c r="A84" s="7" t="s">
        <v>345</v>
      </c>
      <c r="D84" s="19" t="n">
        <f aca="false">D83/(Inputs!$B$24-Inputs!$B$25)</f>
        <v>38895.3468975313</v>
      </c>
    </row>
    <row r="85" customFormat="false" ht="15" hidden="false" customHeight="false" outlineLevel="0" collapsed="false">
      <c r="A85" s="7" t="s">
        <v>346</v>
      </c>
      <c r="D85" s="19" t="n">
        <f aca="false">D84/(1+Inputs!$B$24)^N78</f>
        <v>14529.1070499246</v>
      </c>
      <c r="E85" s="2" t="s">
        <v>347</v>
      </c>
    </row>
    <row r="86" customFormat="false" ht="15" hidden="false" customHeight="false" outlineLevel="0" collapsed="false">
      <c r="A86" s="9" t="s">
        <v>348</v>
      </c>
      <c r="D86" s="43" t="n">
        <f aca="false">D82+D85</f>
        <v>22134.3346669731</v>
      </c>
    </row>
    <row r="87" customFormat="false" ht="15" hidden="false" customHeight="false" outlineLevel="0" collapsed="false">
      <c r="A87" s="7" t="s">
        <v>349</v>
      </c>
      <c r="D87" s="14" t="n">
        <f aca="false">D85/D86</f>
        <v>0.656405863041535</v>
      </c>
    </row>
    <row r="88" customFormat="false" ht="15" hidden="false" customHeight="false" outlineLevel="0" collapsed="false">
      <c r="A88" s="7" t="s">
        <v>350</v>
      </c>
      <c r="D88" s="48" t="n">
        <f aca="false">D84/N52</f>
        <v>7.42380876858838</v>
      </c>
    </row>
    <row r="89" customFormat="false" ht="15" hidden="false" customHeight="false" outlineLevel="0" collapsed="false">
      <c r="A89" s="7" t="s">
        <v>351</v>
      </c>
      <c r="D89" s="48" t="n">
        <f aca="false">D84/(N52-N57)</f>
        <v>8.2843749227897</v>
      </c>
    </row>
    <row r="91" customFormat="false" ht="15" hidden="false" customHeight="false" outlineLevel="0" collapsed="false">
      <c r="A91" s="49" t="s">
        <v>352</v>
      </c>
    </row>
    <row r="92" customFormat="false" ht="15" hidden="false" customHeight="false" outlineLevel="0" collapsed="false">
      <c r="A92" s="7" t="s">
        <v>353</v>
      </c>
      <c r="D92" s="19" t="n">
        <f aca="false">H35</f>
        <v>920</v>
      </c>
    </row>
    <row r="93" customFormat="false" ht="15" hidden="false" customHeight="false" outlineLevel="0" collapsed="false">
      <c r="A93" s="7" t="s">
        <v>354</v>
      </c>
      <c r="D93" s="19" t="n">
        <f aca="false">H35*H38</f>
        <v>276</v>
      </c>
    </row>
    <row r="94" customFormat="false" ht="15" hidden="false" customHeight="false" outlineLevel="0" collapsed="false">
      <c r="A94" s="7" t="s">
        <v>355</v>
      </c>
      <c r="D94" s="19" t="n">
        <f aca="false">Inputs!$B$55*Inputs!$B$53*D93+(1-Inputs!$B$55)*Inputs!$B$54*D92</f>
        <v>3266</v>
      </c>
    </row>
    <row r="95" customFormat="false" ht="15" hidden="false" customHeight="false" outlineLevel="0" collapsed="false">
      <c r="A95" s="7" t="s">
        <v>356</v>
      </c>
      <c r="D95" s="19" t="n">
        <f aca="false">MIN(MAX(D94,Inputs!$B$56),Inputs!$B$57)</f>
        <v>3266</v>
      </c>
    </row>
    <row r="96" customFormat="false" ht="15" hidden="false" customHeight="false" outlineLevel="0" collapsed="false">
      <c r="A96" s="7" t="s">
        <v>357</v>
      </c>
      <c r="D96" s="19" t="n">
        <f aca="false">D95*Inputs!$B$52</f>
        <v>1306.4</v>
      </c>
    </row>
    <row r="97" customFormat="false" ht="15" hidden="false" customHeight="false" outlineLevel="0" collapsed="false">
      <c r="A97" s="7" t="s">
        <v>358</v>
      </c>
      <c r="D97" s="19" t="n">
        <f aca="false">D96/(1+Inputs!$B$24)^Inputs!D62</f>
        <v>957.308444404809</v>
      </c>
    </row>
    <row r="99" customFormat="false" ht="15" hidden="false" customHeight="false" outlineLevel="0" collapsed="false">
      <c r="A99" s="49" t="s">
        <v>359</v>
      </c>
    </row>
    <row r="100" customFormat="false" ht="15" hidden="false" customHeight="false" outlineLevel="0" collapsed="false">
      <c r="A100" s="7" t="s">
        <v>360</v>
      </c>
      <c r="D100" s="19" t="n">
        <f aca="false">Inputs!$B$39</f>
        <v>5400</v>
      </c>
    </row>
    <row r="101" customFormat="false" ht="15" hidden="false" customHeight="false" outlineLevel="0" collapsed="false">
      <c r="A101" s="7" t="s">
        <v>361</v>
      </c>
      <c r="D101" s="19" t="n">
        <f aca="false">-MAX(Inputs!$B$40-Inputs!$B$41,0)</f>
        <v>-348</v>
      </c>
    </row>
    <row r="102" customFormat="false" ht="15" hidden="false" customHeight="false" outlineLevel="0" collapsed="false">
      <c r="A102" s="7" t="s">
        <v>362</v>
      </c>
      <c r="D102" s="19" t="n">
        <f aca="false">-Inputs!$B$42</f>
        <v>-437</v>
      </c>
    </row>
    <row r="103" customFormat="false" ht="15" hidden="false" customHeight="false" outlineLevel="0" collapsed="false">
      <c r="A103" s="7" t="s">
        <v>363</v>
      </c>
      <c r="D103" s="19" t="n">
        <f aca="false">Inputs!$B$43</f>
        <v>70</v>
      </c>
    </row>
    <row r="104" customFormat="false" ht="15" hidden="false" customHeight="false" outlineLevel="0" collapsed="false">
      <c r="A104" s="7" t="s">
        <v>364</v>
      </c>
      <c r="D104" s="19" t="n">
        <f aca="false">-Inputs!$B$44</f>
        <v>-600</v>
      </c>
    </row>
    <row r="105" customFormat="false" ht="15" hidden="false" customHeight="false" outlineLevel="0" collapsed="false">
      <c r="A105" s="7" t="s">
        <v>365</v>
      </c>
      <c r="D105" s="19" t="n">
        <f aca="false">-(Inputs!$B$45+Inputs!$B$46)</f>
        <v>-425</v>
      </c>
    </row>
    <row r="106" customFormat="false" ht="15" hidden="false" customHeight="false" outlineLevel="0" collapsed="false">
      <c r="A106" s="7" t="s">
        <v>366</v>
      </c>
      <c r="D106" s="19" t="n">
        <f aca="false">-(Inputs!$B$47-Inputs!$B$48)</f>
        <v>-1230</v>
      </c>
    </row>
    <row r="107" customFormat="false" ht="15" hidden="false" customHeight="false" outlineLevel="0" collapsed="false">
      <c r="A107" s="7" t="s">
        <v>367</v>
      </c>
      <c r="D107" s="19" t="n">
        <f aca="false">-D97</f>
        <v>-957.308444404809</v>
      </c>
    </row>
    <row r="108" customFormat="false" ht="15" hidden="false" customHeight="false" outlineLevel="0" collapsed="false">
      <c r="A108" s="9" t="s">
        <v>368</v>
      </c>
      <c r="D108" s="43" t="n">
        <f aca="false">SUM(D100:D107)</f>
        <v>1472.69155559519</v>
      </c>
    </row>
    <row r="109" customFormat="false" ht="15" hidden="false" customHeight="false" outlineLevel="0" collapsed="false">
      <c r="A109" s="9" t="s">
        <v>369</v>
      </c>
      <c r="D109" s="43" t="n">
        <f aca="false">D86+D108</f>
        <v>23607.0262225683</v>
      </c>
    </row>
    <row r="110" customFormat="false" ht="15" hidden="false" customHeight="false" outlineLevel="0" collapsed="false">
      <c r="A110" s="7" t="s">
        <v>370</v>
      </c>
      <c r="D110" s="19" t="n">
        <f aca="false">Inputs!$B$8+Inputs!$B$9</f>
        <v>4162</v>
      </c>
    </row>
    <row r="111" customFormat="false" ht="15" hidden="false" customHeight="false" outlineLevel="0" collapsed="false">
      <c r="A111" s="7" t="s">
        <v>371</v>
      </c>
      <c r="D111" s="13" t="n">
        <f aca="false">D109/D110</f>
        <v>5.6720389770707</v>
      </c>
    </row>
    <row r="112" customFormat="false" ht="15" hidden="false" customHeight="false" outlineLevel="0" collapsed="false">
      <c r="A112" s="7" t="s">
        <v>372</v>
      </c>
      <c r="D112" s="13" t="n">
        <f aca="false">(D109+Inputs!$B$10)/(D110+Inputs!$B$12)</f>
        <v>5.71782796060728</v>
      </c>
    </row>
    <row r="113" customFormat="false" ht="15" hidden="false" customHeight="false" outlineLevel="0" collapsed="false">
      <c r="A113" s="9" t="s">
        <v>12</v>
      </c>
      <c r="D113" s="11" t="n">
        <f aca="false">IF(D111&gt;Inputs!$B$11,D112,D111)</f>
        <v>5.6720389770707</v>
      </c>
      <c r="E113" s="2" t="s">
        <v>373</v>
      </c>
    </row>
    <row r="114" customFormat="false" ht="15" hidden="false" customHeight="false" outlineLevel="0" collapsed="false">
      <c r="A114" s="9" t="s">
        <v>374</v>
      </c>
      <c r="D114" s="50" t="n">
        <f aca="false">D113/Inputs!$B$6-1</f>
        <v>0.942479101736542</v>
      </c>
    </row>
    <row r="115" customFormat="false" ht="15" hidden="false" customHeight="false" outlineLevel="0" collapsed="false">
      <c r="A115" s="7" t="s">
        <v>375</v>
      </c>
      <c r="D115" s="13" t="n">
        <f aca="false">D113*(1+Inputs!$B$20)</f>
        <v>6.37253579073894</v>
      </c>
    </row>
    <row r="117" customFormat="false" ht="15" hidden="false" customHeight="false" outlineLevel="0" collapsed="false">
      <c r="A117" s="49" t="s">
        <v>376</v>
      </c>
    </row>
    <row r="118" customFormat="false" ht="15" hidden="false" customHeight="false" outlineLevel="0" collapsed="false">
      <c r="A118" s="7" t="s">
        <v>377</v>
      </c>
      <c r="D118" s="19" t="n">
        <f aca="false">F11+F20+F29</f>
        <v>1517.3064272</v>
      </c>
    </row>
    <row r="119" customFormat="false" ht="15" hidden="false" customHeight="false" outlineLevel="0" collapsed="false">
      <c r="A119" s="7" t="s">
        <v>378</v>
      </c>
      <c r="D119" s="19" t="n">
        <f aca="false">-F50*Inputs!D65</f>
        <v>-390.18672</v>
      </c>
    </row>
    <row r="120" customFormat="false" ht="15" hidden="false" customHeight="false" outlineLevel="0" collapsed="false">
      <c r="A120" s="7" t="s">
        <v>379</v>
      </c>
      <c r="D120" s="19" t="n">
        <f aca="false">D118+D119</f>
        <v>1127.1197072</v>
      </c>
    </row>
    <row r="121" customFormat="false" ht="15" hidden="false" customHeight="false" outlineLevel="0" collapsed="false">
      <c r="A121" s="7" t="s">
        <v>380</v>
      </c>
      <c r="D121" s="48" t="n">
        <f aca="false">Inputs!D63</f>
        <v>16</v>
      </c>
    </row>
    <row r="122" customFormat="false" ht="15" hidden="false" customHeight="false" outlineLevel="0" collapsed="false">
      <c r="A122" s="7" t="s">
        <v>381</v>
      </c>
      <c r="D122" s="19" t="n">
        <f aca="false">D120*D121</f>
        <v>18033.9153152</v>
      </c>
    </row>
    <row r="123" customFormat="false" ht="15" hidden="false" customHeight="false" outlineLevel="0" collapsed="false">
      <c r="A123" s="7" t="s">
        <v>382</v>
      </c>
      <c r="D123" s="19" t="n">
        <f aca="false">G41-G50*(1-Inputs!D65)</f>
        <v>352.9678684</v>
      </c>
    </row>
    <row r="124" customFormat="false" ht="15" hidden="false" customHeight="false" outlineLevel="0" collapsed="false">
      <c r="A124" s="7" t="s">
        <v>380</v>
      </c>
      <c r="D124" s="48" t="n">
        <f aca="false">Inputs!D64</f>
        <v>12</v>
      </c>
    </row>
    <row r="125" customFormat="false" ht="15" hidden="false" customHeight="false" outlineLevel="0" collapsed="false">
      <c r="A125" s="7" t="s">
        <v>383</v>
      </c>
      <c r="D125" s="19" t="n">
        <f aca="false">D123*D124/(1+Inputs!$B$20)</f>
        <v>3770.01728598131</v>
      </c>
    </row>
    <row r="126" customFormat="false" ht="15" hidden="false" customHeight="false" outlineLevel="0" collapsed="false">
      <c r="A126" s="9" t="s">
        <v>384</v>
      </c>
      <c r="D126" s="43" t="n">
        <f aca="false">D122+D125</f>
        <v>21803.9326011813</v>
      </c>
    </row>
    <row r="127" customFormat="false" ht="15" hidden="false" customHeight="false" outlineLevel="0" collapsed="false">
      <c r="A127" s="7" t="s">
        <v>385</v>
      </c>
      <c r="D127" s="19" t="n">
        <f aca="false">D126+D108</f>
        <v>23276.6241567765</v>
      </c>
    </row>
    <row r="128" customFormat="false" ht="15" hidden="false" customHeight="false" outlineLevel="0" collapsed="false">
      <c r="A128" s="9" t="s">
        <v>13</v>
      </c>
      <c r="D128" s="11" t="n">
        <f aca="false">IF(D127/D110&gt;Inputs!$B$11,(D127+Inputs!$B$10)/(D110+Inputs!$B$12),D127/D110)</f>
        <v>5.59265356962434</v>
      </c>
    </row>
    <row r="129" customFormat="false" ht="15" hidden="false" customHeight="false" outlineLevel="0" collapsed="false">
      <c r="A129" s="7" t="s">
        <v>374</v>
      </c>
      <c r="D129" s="14" t="n">
        <f aca="false">D128/Inputs!$B$6-1</f>
        <v>0.915292318364499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6"/>
    <col collapsed="false" customWidth="true" hidden="false" outlineLevel="0" max="14" min="3" style="0" width="10"/>
    <col collapsed="false" customWidth="true" hidden="false" outlineLevel="0" max="15" min="15" style="0" width="60"/>
  </cols>
  <sheetData>
    <row r="1" customFormat="false" ht="17.35" hidden="false" customHeight="false" outlineLevel="0" collapsed="false">
      <c r="A1" s="1" t="s">
        <v>387</v>
      </c>
    </row>
    <row r="2" customFormat="false" ht="15" hidden="false" customHeight="false" outlineLevel="0" collapsed="false">
      <c r="A2" s="2" t="s">
        <v>286</v>
      </c>
    </row>
    <row r="4" customFormat="false" ht="15" hidden="false" customHeight="false" outlineLevel="0" collapsed="false">
      <c r="A4" s="5" t="s">
        <v>74</v>
      </c>
      <c r="B4" s="6" t="s">
        <v>133</v>
      </c>
      <c r="C4" s="6" t="s">
        <v>39</v>
      </c>
      <c r="D4" s="6" t="s">
        <v>40</v>
      </c>
      <c r="E4" s="6" t="s">
        <v>41</v>
      </c>
      <c r="F4" s="6" t="s">
        <v>42</v>
      </c>
      <c r="G4" s="6" t="s">
        <v>43</v>
      </c>
      <c r="H4" s="6" t="s">
        <v>44</v>
      </c>
      <c r="I4" s="6" t="s">
        <v>45</v>
      </c>
      <c r="J4" s="6" t="s">
        <v>233</v>
      </c>
      <c r="K4" s="6" t="s">
        <v>234</v>
      </c>
      <c r="L4" s="6" t="s">
        <v>235</v>
      </c>
      <c r="M4" s="6" t="s">
        <v>236</v>
      </c>
      <c r="N4" s="6" t="s">
        <v>237</v>
      </c>
      <c r="O4" s="6" t="s">
        <v>220</v>
      </c>
    </row>
    <row r="5" customFormat="false" ht="15" hidden="false" customHeight="false" outlineLevel="0" collapsed="false">
      <c r="A5" s="3" t="s">
        <v>287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customFormat="false" ht="15" hidden="false" customHeight="false" outlineLevel="0" collapsed="false">
      <c r="A6" s="7" t="s">
        <v>84</v>
      </c>
      <c r="B6" s="2" t="s">
        <v>147</v>
      </c>
      <c r="C6" s="8" t="n">
        <f aca="false">Historicals!B9</f>
        <v>11723</v>
      </c>
      <c r="D6" s="8" t="n">
        <f aca="false">Historicals!C9</f>
        <v>14236</v>
      </c>
      <c r="E6" s="19" t="n">
        <f aca="false">D6*(1+E7)</f>
        <v>17225.56</v>
      </c>
      <c r="F6" s="19" t="n">
        <f aca="false">E6*(1+F7)</f>
        <v>19809.394</v>
      </c>
      <c r="G6" s="19" t="n">
        <f aca="false">F6*(1+G7)</f>
        <v>22384.61522</v>
      </c>
      <c r="H6" s="19" t="n">
        <f aca="false">G6*(1+H7)</f>
        <v>24846.9228942</v>
      </c>
      <c r="I6" s="19" t="n">
        <f aca="false">H6*(1+I7)</f>
        <v>27083.145954678</v>
      </c>
      <c r="J6" s="19" t="n">
        <f aca="false">I6*(1+J7)</f>
        <v>29249.7976310522</v>
      </c>
      <c r="K6" s="19" t="n">
        <f aca="false">J6*(1+K7)</f>
        <v>31297.2834652259</v>
      </c>
      <c r="L6" s="19" t="n">
        <f aca="false">K6*(1+L7)</f>
        <v>33175.1204731395</v>
      </c>
      <c r="M6" s="19" t="n">
        <f aca="false">L6*(1+M7)</f>
        <v>34833.8764967964</v>
      </c>
      <c r="N6" s="19" t="n">
        <f aca="false">M6*(1+N7)</f>
        <v>36575.5703216363</v>
      </c>
    </row>
    <row r="7" customFormat="false" ht="15" hidden="false" customHeight="false" outlineLevel="0" collapsed="false">
      <c r="A7" s="7" t="s">
        <v>48</v>
      </c>
      <c r="B7" s="2" t="s">
        <v>155</v>
      </c>
      <c r="D7" s="14" t="n">
        <f aca="false">D6/C6-1</f>
        <v>0.214364923654355</v>
      </c>
      <c r="E7" s="15" t="n">
        <f aca="false">Inputs!E69</f>
        <v>0.21</v>
      </c>
      <c r="F7" s="15" t="n">
        <f aca="false">Inputs!F69</f>
        <v>0.15</v>
      </c>
      <c r="G7" s="15" t="n">
        <f aca="false">Inputs!G69</f>
        <v>0.13</v>
      </c>
      <c r="H7" s="15" t="n">
        <f aca="false">Inputs!H69</f>
        <v>0.11</v>
      </c>
      <c r="I7" s="15" t="n">
        <f aca="false">Inputs!I69</f>
        <v>0.09</v>
      </c>
      <c r="J7" s="15" t="n">
        <f aca="false">Inputs!J69</f>
        <v>0.08</v>
      </c>
      <c r="K7" s="15" t="n">
        <f aca="false">Inputs!K69</f>
        <v>0.07</v>
      </c>
      <c r="L7" s="15" t="n">
        <f aca="false">Inputs!L69</f>
        <v>0.06</v>
      </c>
      <c r="M7" s="15" t="n">
        <f aca="false">Inputs!M69</f>
        <v>0.05</v>
      </c>
      <c r="N7" s="15" t="n">
        <f aca="false">Inputs!N69</f>
        <v>0.05</v>
      </c>
    </row>
    <row r="8" customFormat="false" ht="15" hidden="false" customHeight="false" outlineLevel="0" collapsed="false">
      <c r="A8" s="7" t="s">
        <v>288</v>
      </c>
      <c r="B8" s="2" t="s">
        <v>155</v>
      </c>
      <c r="C8" s="26" t="n">
        <f aca="false">C9/C6</f>
        <v>0.127356478717052</v>
      </c>
      <c r="D8" s="26" t="n">
        <f aca="false">D9/D6</f>
        <v>0.126440011239112</v>
      </c>
      <c r="E8" s="40" t="n">
        <f aca="false">Inputs!E72</f>
        <v>0.1245</v>
      </c>
      <c r="F8" s="40" t="n">
        <f aca="false">Inputs!F72</f>
        <v>0.123</v>
      </c>
      <c r="G8" s="40" t="n">
        <f aca="false">Inputs!G72</f>
        <v>0.122</v>
      </c>
      <c r="H8" s="40" t="n">
        <f aca="false">Inputs!H72</f>
        <v>0.122</v>
      </c>
      <c r="I8" s="40" t="n">
        <f aca="false">Inputs!I72</f>
        <v>0.122</v>
      </c>
      <c r="J8" s="40" t="n">
        <f aca="false">Inputs!J72</f>
        <v>0.122</v>
      </c>
      <c r="K8" s="40" t="n">
        <f aca="false">Inputs!K72</f>
        <v>0.122</v>
      </c>
      <c r="L8" s="40" t="n">
        <f aca="false">Inputs!L72</f>
        <v>0.122</v>
      </c>
      <c r="M8" s="40" t="n">
        <f aca="false">Inputs!M72</f>
        <v>0.122</v>
      </c>
      <c r="N8" s="40" t="n">
        <f aca="false">Inputs!N72</f>
        <v>0.122</v>
      </c>
    </row>
    <row r="9" customFormat="false" ht="15" hidden="false" customHeight="false" outlineLevel="0" collapsed="false">
      <c r="A9" s="7" t="s">
        <v>85</v>
      </c>
      <c r="B9" s="2" t="s">
        <v>147</v>
      </c>
      <c r="C9" s="8" t="n">
        <f aca="false">Historicals!B10</f>
        <v>1493</v>
      </c>
      <c r="D9" s="8" t="n">
        <f aca="false">Historicals!C10</f>
        <v>1800</v>
      </c>
      <c r="E9" s="19" t="n">
        <f aca="false">E6*E8</f>
        <v>2144.58222</v>
      </c>
      <c r="F9" s="19" t="n">
        <f aca="false">F6*F8</f>
        <v>2436.555462</v>
      </c>
      <c r="G9" s="19" t="n">
        <f aca="false">G6*G8</f>
        <v>2730.92305684</v>
      </c>
      <c r="H9" s="19" t="n">
        <f aca="false">H6*H8</f>
        <v>3031.3245930924</v>
      </c>
      <c r="I9" s="19" t="n">
        <f aca="false">I6*I8</f>
        <v>3304.14380647072</v>
      </c>
      <c r="J9" s="19" t="n">
        <f aca="false">J6*J8</f>
        <v>3568.47531098837</v>
      </c>
      <c r="K9" s="19" t="n">
        <f aca="false">K6*K8</f>
        <v>3818.26858275756</v>
      </c>
      <c r="L9" s="19" t="n">
        <f aca="false">L6*L8</f>
        <v>4047.36469772301</v>
      </c>
      <c r="M9" s="19" t="n">
        <f aca="false">M6*M8</f>
        <v>4249.73293260917</v>
      </c>
      <c r="N9" s="19" t="n">
        <f aca="false">N6*N8</f>
        <v>4462.21957923962</v>
      </c>
    </row>
    <row r="10" customFormat="false" ht="15" hidden="false" customHeight="false" outlineLevel="0" collapsed="false">
      <c r="A10" s="7" t="s">
        <v>289</v>
      </c>
      <c r="B10" s="2" t="s">
        <v>155</v>
      </c>
      <c r="C10" s="26" t="n">
        <f aca="false">C11/C6</f>
        <v>0.0167192698114817</v>
      </c>
      <c r="D10" s="26" t="n">
        <f aca="false">D11/D6</f>
        <v>0.0201601573475695</v>
      </c>
      <c r="E10" s="40" t="n">
        <f aca="false">Inputs!E75</f>
        <v>0.0218</v>
      </c>
      <c r="F10" s="40" t="n">
        <f aca="false">Inputs!F75</f>
        <v>0.0235</v>
      </c>
      <c r="G10" s="40" t="n">
        <f aca="false">Inputs!G75</f>
        <v>0.0255</v>
      </c>
      <c r="H10" s="40" t="n">
        <f aca="false">Inputs!H75</f>
        <v>0.0265</v>
      </c>
      <c r="I10" s="40" t="n">
        <f aca="false">Inputs!I75</f>
        <v>0.0275</v>
      </c>
      <c r="J10" s="40" t="n">
        <f aca="false">Inputs!J75</f>
        <v>0.0285</v>
      </c>
      <c r="K10" s="40" t="n">
        <f aca="false">Inputs!K75</f>
        <v>0.029</v>
      </c>
      <c r="L10" s="40" t="n">
        <f aca="false">Inputs!L75</f>
        <v>0.0295</v>
      </c>
      <c r="M10" s="40" t="n">
        <f aca="false">Inputs!M75</f>
        <v>0.03</v>
      </c>
      <c r="N10" s="40" t="n">
        <f aca="false">Inputs!N75</f>
        <v>0.03</v>
      </c>
    </row>
    <row r="11" customFormat="false" ht="15" hidden="false" customHeight="false" outlineLevel="0" collapsed="false">
      <c r="A11" s="9" t="s">
        <v>86</v>
      </c>
      <c r="B11" s="41" t="s">
        <v>147</v>
      </c>
      <c r="C11" s="42" t="n">
        <f aca="false">Historicals!B11</f>
        <v>196</v>
      </c>
      <c r="D11" s="42" t="n">
        <f aca="false">Historicals!C11</f>
        <v>287</v>
      </c>
      <c r="E11" s="43" t="n">
        <f aca="false">E6*E10</f>
        <v>375.517208</v>
      </c>
      <c r="F11" s="43" t="n">
        <f aca="false">F6*F10</f>
        <v>465.520759</v>
      </c>
      <c r="G11" s="43" t="n">
        <f aca="false">G6*G10</f>
        <v>570.80768811</v>
      </c>
      <c r="H11" s="43" t="n">
        <f aca="false">H6*H10</f>
        <v>658.4434566963</v>
      </c>
      <c r="I11" s="43" t="n">
        <f aca="false">I6*I10</f>
        <v>744.786513753645</v>
      </c>
      <c r="J11" s="43" t="n">
        <f aca="false">J6*J10</f>
        <v>833.619232484989</v>
      </c>
      <c r="K11" s="43" t="n">
        <f aca="false">K6*K10</f>
        <v>907.621220491551</v>
      </c>
      <c r="L11" s="43" t="n">
        <f aca="false">L6*L10</f>
        <v>978.666053957614</v>
      </c>
      <c r="M11" s="43" t="n">
        <f aca="false">M6*M10</f>
        <v>1045.01629490389</v>
      </c>
      <c r="N11" s="43" t="n">
        <f aca="false">N6*N10</f>
        <v>1097.26710964909</v>
      </c>
    </row>
    <row r="12" customFormat="false" ht="15" hidden="false" customHeight="false" outlineLevel="0" collapsed="false">
      <c r="A12" s="3" t="s">
        <v>290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customFormat="false" ht="15" hidden="false" customHeight="false" outlineLevel="0" collapsed="false">
      <c r="A13" s="7" t="s">
        <v>291</v>
      </c>
      <c r="B13" s="2" t="s">
        <v>147</v>
      </c>
      <c r="D13" s="17" t="n">
        <v>1800</v>
      </c>
      <c r="E13" s="19" t="n">
        <f aca="false">D13*(1+E14)</f>
        <v>1800</v>
      </c>
      <c r="F13" s="19" t="n">
        <f aca="false">E13*(1+F14)</f>
        <v>1584</v>
      </c>
      <c r="G13" s="19" t="n">
        <f aca="false">F13*(1+G14)</f>
        <v>1615.68</v>
      </c>
      <c r="H13" s="19" t="n">
        <f aca="false">G13*(1+H14)</f>
        <v>1664.1504</v>
      </c>
      <c r="I13" s="19" t="n">
        <f aca="false">H13*(1+I14)</f>
        <v>1714.074912</v>
      </c>
      <c r="J13" s="19" t="n">
        <f aca="false">I13*(1+J14)</f>
        <v>1765.49715936</v>
      </c>
      <c r="K13" s="19" t="n">
        <f aca="false">J13*(1+K14)</f>
        <v>1818.4620741408</v>
      </c>
      <c r="L13" s="19" t="n">
        <f aca="false">K13*(1+L14)</f>
        <v>1873.01593636502</v>
      </c>
      <c r="M13" s="19" t="n">
        <f aca="false">L13*(1+M14)</f>
        <v>1910.47625509233</v>
      </c>
      <c r="N13" s="19" t="n">
        <f aca="false">M13*(1+N14)</f>
        <v>1948.68578019417</v>
      </c>
      <c r="O13" s="2" t="s">
        <v>292</v>
      </c>
    </row>
    <row r="14" customFormat="false" ht="15" hidden="false" customHeight="false" outlineLevel="0" collapsed="false">
      <c r="A14" s="7" t="s">
        <v>48</v>
      </c>
      <c r="B14" s="2" t="s">
        <v>155</v>
      </c>
      <c r="E14" s="15" t="n">
        <f aca="false">Inputs!E78</f>
        <v>0</v>
      </c>
      <c r="F14" s="15" t="n">
        <f aca="false">Inputs!F78</f>
        <v>-0.12</v>
      </c>
      <c r="G14" s="15" t="n">
        <f aca="false">Inputs!G78</f>
        <v>0.02</v>
      </c>
      <c r="H14" s="15" t="n">
        <f aca="false">Inputs!H78</f>
        <v>0.03</v>
      </c>
      <c r="I14" s="15" t="n">
        <f aca="false">Inputs!I78</f>
        <v>0.03</v>
      </c>
      <c r="J14" s="15" t="n">
        <f aca="false">Inputs!J78</f>
        <v>0.03</v>
      </c>
      <c r="K14" s="15" t="n">
        <f aca="false">Inputs!K78</f>
        <v>0.03</v>
      </c>
      <c r="L14" s="15" t="n">
        <f aca="false">Inputs!L78</f>
        <v>0.03</v>
      </c>
      <c r="M14" s="15" t="n">
        <f aca="false">Inputs!M78</f>
        <v>0.02</v>
      </c>
      <c r="N14" s="15" t="n">
        <f aca="false">Inputs!N78</f>
        <v>0.02</v>
      </c>
    </row>
    <row r="15" customFormat="false" ht="15" hidden="false" customHeight="false" outlineLevel="0" collapsed="false">
      <c r="A15" s="7" t="s">
        <v>293</v>
      </c>
      <c r="B15" s="2" t="s">
        <v>160</v>
      </c>
      <c r="E15" s="44" t="n">
        <f aca="false">Inputs!E81</f>
        <v>0</v>
      </c>
      <c r="F15" s="44" t="n">
        <f aca="false">Inputs!F81</f>
        <v>0.75</v>
      </c>
      <c r="G15" s="44" t="n">
        <f aca="false">Inputs!G81</f>
        <v>1</v>
      </c>
      <c r="H15" s="44" t="n">
        <f aca="false">Inputs!H81</f>
        <v>1</v>
      </c>
      <c r="I15" s="44" t="n">
        <f aca="false">Inputs!I81</f>
        <v>1</v>
      </c>
      <c r="J15" s="44" t="n">
        <f aca="false">Inputs!J81</f>
        <v>1</v>
      </c>
      <c r="K15" s="44" t="n">
        <f aca="false">Inputs!K81</f>
        <v>1</v>
      </c>
      <c r="L15" s="44" t="n">
        <f aca="false">Inputs!L81</f>
        <v>1</v>
      </c>
      <c r="M15" s="44" t="n">
        <f aca="false">Inputs!M81</f>
        <v>1</v>
      </c>
      <c r="N15" s="44" t="n">
        <f aca="false">Inputs!N81</f>
        <v>1</v>
      </c>
    </row>
    <row r="16" customFormat="false" ht="15" hidden="false" customHeight="false" outlineLevel="0" collapsed="false">
      <c r="A16" s="7" t="s">
        <v>294</v>
      </c>
      <c r="B16" s="2" t="s">
        <v>147</v>
      </c>
      <c r="E16" s="19" t="n">
        <f aca="false">E13*E15</f>
        <v>0</v>
      </c>
      <c r="F16" s="19" t="n">
        <f aca="false">F13*F15</f>
        <v>1188</v>
      </c>
      <c r="G16" s="19" t="n">
        <f aca="false">G13*G15</f>
        <v>1615.68</v>
      </c>
      <c r="H16" s="19" t="n">
        <f aca="false">H13*H15</f>
        <v>1664.1504</v>
      </c>
      <c r="I16" s="19" t="n">
        <f aca="false">I13*I15</f>
        <v>1714.074912</v>
      </c>
      <c r="J16" s="19" t="n">
        <f aca="false">J13*J15</f>
        <v>1765.49715936</v>
      </c>
      <c r="K16" s="19" t="n">
        <f aca="false">K13*K15</f>
        <v>1818.4620741408</v>
      </c>
      <c r="L16" s="19" t="n">
        <f aca="false">L13*L15</f>
        <v>1873.01593636502</v>
      </c>
      <c r="M16" s="19" t="n">
        <f aca="false">M13*M15</f>
        <v>1910.47625509233</v>
      </c>
      <c r="N16" s="19" t="n">
        <f aca="false">N13*N15</f>
        <v>1948.68578019417</v>
      </c>
    </row>
    <row r="17" customFormat="false" ht="15" hidden="false" customHeight="false" outlineLevel="0" collapsed="false">
      <c r="A17" s="7" t="s">
        <v>295</v>
      </c>
      <c r="B17" s="2" t="s">
        <v>155</v>
      </c>
      <c r="E17" s="40" t="n">
        <f aca="false">Inputs!E84</f>
        <v>0.135</v>
      </c>
      <c r="F17" s="40" t="n">
        <f aca="false">Inputs!F84</f>
        <v>0.135</v>
      </c>
      <c r="G17" s="40" t="n">
        <f aca="false">Inputs!G84</f>
        <v>0.135</v>
      </c>
      <c r="H17" s="40" t="n">
        <f aca="false">Inputs!H84</f>
        <v>0.135</v>
      </c>
      <c r="I17" s="40" t="n">
        <f aca="false">Inputs!I84</f>
        <v>0.135</v>
      </c>
      <c r="J17" s="40" t="n">
        <f aca="false">Inputs!J84</f>
        <v>0.135</v>
      </c>
      <c r="K17" s="40" t="n">
        <f aca="false">Inputs!K84</f>
        <v>0.135</v>
      </c>
      <c r="L17" s="40" t="n">
        <f aca="false">Inputs!L84</f>
        <v>0.135</v>
      </c>
      <c r="M17" s="40" t="n">
        <f aca="false">Inputs!M84</f>
        <v>0.135</v>
      </c>
      <c r="N17" s="40" t="n">
        <f aca="false">Inputs!N84</f>
        <v>0.135</v>
      </c>
    </row>
    <row r="18" customFormat="false" ht="15" hidden="false" customHeight="false" outlineLevel="0" collapsed="false">
      <c r="A18" s="7" t="s">
        <v>296</v>
      </c>
      <c r="B18" s="2" t="s">
        <v>147</v>
      </c>
      <c r="E18" s="19" t="n">
        <f aca="false">E16*E17</f>
        <v>0</v>
      </c>
      <c r="F18" s="19" t="n">
        <f aca="false">F16*F17</f>
        <v>160.38</v>
      </c>
      <c r="G18" s="19" t="n">
        <f aca="false">G16*G17</f>
        <v>218.1168</v>
      </c>
      <c r="H18" s="19" t="n">
        <f aca="false">H16*H17</f>
        <v>224.660304</v>
      </c>
      <c r="I18" s="19" t="n">
        <f aca="false">I16*I17</f>
        <v>231.40011312</v>
      </c>
      <c r="J18" s="19" t="n">
        <f aca="false">J16*J17</f>
        <v>238.3421165136</v>
      </c>
      <c r="K18" s="19" t="n">
        <f aca="false">K16*K17</f>
        <v>245.492380009008</v>
      </c>
      <c r="L18" s="19" t="n">
        <f aca="false">L16*L17</f>
        <v>252.857151409278</v>
      </c>
      <c r="M18" s="19" t="n">
        <f aca="false">M16*M17</f>
        <v>257.914294437464</v>
      </c>
      <c r="N18" s="19" t="n">
        <f aca="false">N16*N17</f>
        <v>263.072580326213</v>
      </c>
    </row>
    <row r="19" customFormat="false" ht="15" hidden="false" customHeight="false" outlineLevel="0" collapsed="false">
      <c r="A19" s="7" t="s">
        <v>297</v>
      </c>
      <c r="B19" s="2" t="s">
        <v>155</v>
      </c>
      <c r="E19" s="40" t="n">
        <f aca="false">Inputs!E87</f>
        <v>0</v>
      </c>
      <c r="F19" s="40" t="n">
        <f aca="false">Inputs!F87</f>
        <v>-0.01</v>
      </c>
      <c r="G19" s="40" t="n">
        <f aca="false">Inputs!G87</f>
        <v>0.02</v>
      </c>
      <c r="H19" s="40" t="n">
        <f aca="false">Inputs!H87</f>
        <v>0.025</v>
      </c>
      <c r="I19" s="40" t="n">
        <f aca="false">Inputs!I87</f>
        <v>0.028</v>
      </c>
      <c r="J19" s="40" t="n">
        <f aca="false">Inputs!J87</f>
        <v>0.03</v>
      </c>
      <c r="K19" s="40" t="n">
        <f aca="false">Inputs!K87</f>
        <v>0.03</v>
      </c>
      <c r="L19" s="40" t="n">
        <f aca="false">Inputs!L87</f>
        <v>0.03</v>
      </c>
      <c r="M19" s="40" t="n">
        <f aca="false">Inputs!M87</f>
        <v>0.03</v>
      </c>
      <c r="N19" s="40" t="n">
        <f aca="false">Inputs!N87</f>
        <v>0.03</v>
      </c>
    </row>
    <row r="20" customFormat="false" ht="15" hidden="false" customHeight="false" outlineLevel="0" collapsed="false">
      <c r="A20" s="9" t="s">
        <v>298</v>
      </c>
      <c r="B20" s="41" t="s">
        <v>147</v>
      </c>
      <c r="C20" s="45"/>
      <c r="D20" s="45"/>
      <c r="E20" s="43" t="n">
        <f aca="false">E16*E19</f>
        <v>0</v>
      </c>
      <c r="F20" s="43" t="n">
        <f aca="false">F16*F19</f>
        <v>-11.88</v>
      </c>
      <c r="G20" s="43" t="n">
        <f aca="false">G16*G19</f>
        <v>32.3136</v>
      </c>
      <c r="H20" s="43" t="n">
        <f aca="false">H16*H19</f>
        <v>41.60376</v>
      </c>
      <c r="I20" s="43" t="n">
        <f aca="false">I16*I19</f>
        <v>47.994097536</v>
      </c>
      <c r="J20" s="43" t="n">
        <f aca="false">J16*J19</f>
        <v>52.9649147808</v>
      </c>
      <c r="K20" s="43" t="n">
        <f aca="false">K16*K19</f>
        <v>54.553862224224</v>
      </c>
      <c r="L20" s="43" t="n">
        <f aca="false">L16*L19</f>
        <v>56.1904780909507</v>
      </c>
      <c r="M20" s="43" t="n">
        <f aca="false">M16*M19</f>
        <v>57.3142876527697</v>
      </c>
      <c r="N20" s="43" t="n">
        <f aca="false">N16*N19</f>
        <v>58.4605734058251</v>
      </c>
    </row>
    <row r="21" customFormat="false" ht="15" hidden="false" customHeight="false" outlineLevel="0" collapsed="false">
      <c r="A21" s="3" t="s">
        <v>299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customFormat="false" ht="15" hidden="false" customHeight="false" outlineLevel="0" collapsed="false">
      <c r="A22" s="7" t="s">
        <v>87</v>
      </c>
      <c r="B22" s="2" t="s">
        <v>147</v>
      </c>
      <c r="C22" s="8" t="n">
        <f aca="false">Historicals!B12</f>
        <v>6640</v>
      </c>
      <c r="D22" s="8" t="n">
        <f aca="false">Historicals!C12</f>
        <v>7901</v>
      </c>
      <c r="E22" s="19" t="n">
        <f aca="false">D22*(1+E23)</f>
        <v>9323.18</v>
      </c>
      <c r="F22" s="19" t="n">
        <f aca="false">E22*(1+F23)</f>
        <v>10255.498</v>
      </c>
      <c r="G22" s="19" t="n">
        <f aca="false">F22*(1+G23)</f>
        <v>11178.49282</v>
      </c>
      <c r="H22" s="19" t="n">
        <f aca="false">G22*(1+H23)</f>
        <v>12072.7722456</v>
      </c>
      <c r="I22" s="19" t="n">
        <f aca="false">H22*(1+I23)</f>
        <v>12917.866302792</v>
      </c>
      <c r="J22" s="19" t="n">
        <f aca="false">I22*(1+J23)</f>
        <v>13822.1169439874</v>
      </c>
      <c r="K22" s="19" t="n">
        <f aca="false">J22*(1+K23)</f>
        <v>14651.4439606267</v>
      </c>
      <c r="L22" s="19" t="n">
        <f aca="false">K22*(1+L23)</f>
        <v>15384.016158658</v>
      </c>
      <c r="M22" s="19" t="n">
        <f aca="false">L22*(1+M23)</f>
        <v>16153.2169665909</v>
      </c>
      <c r="N22" s="19" t="n">
        <f aca="false">M22*(1+N23)</f>
        <v>16799.3456452546</v>
      </c>
    </row>
    <row r="23" customFormat="false" ht="15" hidden="false" customHeight="false" outlineLevel="0" collapsed="false">
      <c r="A23" s="7" t="s">
        <v>48</v>
      </c>
      <c r="B23" s="2" t="s">
        <v>155</v>
      </c>
      <c r="D23" s="14" t="n">
        <f aca="false">D22/C22-1</f>
        <v>0.189909638554217</v>
      </c>
      <c r="E23" s="15" t="n">
        <f aca="false">Inputs!E90</f>
        <v>0.18</v>
      </c>
      <c r="F23" s="15" t="n">
        <f aca="false">Inputs!F90</f>
        <v>0.1</v>
      </c>
      <c r="G23" s="15" t="n">
        <f aca="false">Inputs!G90</f>
        <v>0.09</v>
      </c>
      <c r="H23" s="15" t="n">
        <f aca="false">Inputs!H90</f>
        <v>0.08</v>
      </c>
      <c r="I23" s="15" t="n">
        <f aca="false">Inputs!I90</f>
        <v>0.07</v>
      </c>
      <c r="J23" s="15" t="n">
        <f aca="false">Inputs!J90</f>
        <v>0.07</v>
      </c>
      <c r="K23" s="15" t="n">
        <f aca="false">Inputs!K90</f>
        <v>0.06</v>
      </c>
      <c r="L23" s="15" t="n">
        <f aca="false">Inputs!L90</f>
        <v>0.05</v>
      </c>
      <c r="M23" s="15" t="n">
        <f aca="false">Inputs!M90</f>
        <v>0.05</v>
      </c>
      <c r="N23" s="15" t="n">
        <f aca="false">Inputs!N90</f>
        <v>0.04</v>
      </c>
    </row>
    <row r="24" customFormat="false" ht="15" hidden="false" customHeight="false" outlineLevel="0" collapsed="false">
      <c r="A24" s="7" t="s">
        <v>288</v>
      </c>
      <c r="B24" s="2" t="s">
        <v>155</v>
      </c>
      <c r="C24" s="26" t="n">
        <f aca="false">C25/C22</f>
        <v>0.157680722891566</v>
      </c>
      <c r="D24" s="26" t="n">
        <f aca="false">D25/D22</f>
        <v>0.154284267814201</v>
      </c>
      <c r="E24" s="40" t="n">
        <f aca="false">Inputs!E93</f>
        <v>0.146</v>
      </c>
      <c r="F24" s="40" t="n">
        <f aca="false">Inputs!F93</f>
        <v>0.137</v>
      </c>
      <c r="G24" s="40" t="n">
        <f aca="false">Inputs!G93</f>
        <v>0.135</v>
      </c>
      <c r="H24" s="40" t="n">
        <f aca="false">Inputs!H93</f>
        <v>0.135</v>
      </c>
      <c r="I24" s="40" t="n">
        <f aca="false">Inputs!I93</f>
        <v>0.135</v>
      </c>
      <c r="J24" s="40" t="n">
        <f aca="false">Inputs!J93</f>
        <v>0.135</v>
      </c>
      <c r="K24" s="40" t="n">
        <f aca="false">Inputs!K93</f>
        <v>0.135</v>
      </c>
      <c r="L24" s="40" t="n">
        <f aca="false">Inputs!L93</f>
        <v>0.135</v>
      </c>
      <c r="M24" s="40" t="n">
        <f aca="false">Inputs!M93</f>
        <v>0.135</v>
      </c>
      <c r="N24" s="40" t="n">
        <f aca="false">Inputs!N93</f>
        <v>0.135</v>
      </c>
    </row>
    <row r="25" customFormat="false" ht="15" hidden="false" customHeight="false" outlineLevel="0" collapsed="false">
      <c r="A25" s="7" t="s">
        <v>88</v>
      </c>
      <c r="B25" s="2" t="s">
        <v>147</v>
      </c>
      <c r="C25" s="8" t="n">
        <f aca="false">Historicals!B13</f>
        <v>1047</v>
      </c>
      <c r="D25" s="8" t="n">
        <f aca="false">Historicals!C13</f>
        <v>1219</v>
      </c>
      <c r="E25" s="19" t="n">
        <f aca="false">E22*E24</f>
        <v>1361.18428</v>
      </c>
      <c r="F25" s="19" t="n">
        <f aca="false">F22*F24</f>
        <v>1405.003226</v>
      </c>
      <c r="G25" s="19" t="n">
        <f aca="false">G22*G24</f>
        <v>1509.0965307</v>
      </c>
      <c r="H25" s="19" t="n">
        <f aca="false">H22*H24</f>
        <v>1629.824253156</v>
      </c>
      <c r="I25" s="19" t="n">
        <f aca="false">I22*I24</f>
        <v>1743.91195087692</v>
      </c>
      <c r="J25" s="19" t="n">
        <f aca="false">J22*J24</f>
        <v>1865.98578743831</v>
      </c>
      <c r="K25" s="19" t="n">
        <f aca="false">K22*K24</f>
        <v>1977.9449346846</v>
      </c>
      <c r="L25" s="19" t="n">
        <f aca="false">L22*L24</f>
        <v>2076.84218141883</v>
      </c>
      <c r="M25" s="19" t="n">
        <f aca="false">M22*M24</f>
        <v>2180.68429048978</v>
      </c>
      <c r="N25" s="19" t="n">
        <f aca="false">N22*N24</f>
        <v>2267.91166210937</v>
      </c>
    </row>
    <row r="26" customFormat="false" ht="15" hidden="false" customHeight="false" outlineLevel="0" collapsed="false">
      <c r="A26" s="7" t="s">
        <v>300</v>
      </c>
      <c r="B26" s="2" t="s">
        <v>155</v>
      </c>
      <c r="C26" s="26" t="n">
        <f aca="false">C27/C22</f>
        <v>0.0856927710843373</v>
      </c>
      <c r="D26" s="26" t="n">
        <f aca="false">D27/D22</f>
        <v>0.0873307176306797</v>
      </c>
      <c r="E26" s="40" t="n">
        <f aca="false">Inputs!E96</f>
        <v>0.086</v>
      </c>
      <c r="F26" s="40" t="n">
        <f aca="false">Inputs!F96</f>
        <v>0.085</v>
      </c>
      <c r="G26" s="40" t="n">
        <f aca="false">Inputs!G96</f>
        <v>0.085</v>
      </c>
      <c r="H26" s="40" t="n">
        <f aca="false">Inputs!H96</f>
        <v>0.085</v>
      </c>
      <c r="I26" s="40" t="n">
        <f aca="false">Inputs!I96</f>
        <v>0.0855</v>
      </c>
      <c r="J26" s="40" t="n">
        <f aca="false">Inputs!J96</f>
        <v>0.086</v>
      </c>
      <c r="K26" s="40" t="n">
        <f aca="false">Inputs!K96</f>
        <v>0.086</v>
      </c>
      <c r="L26" s="40" t="n">
        <f aca="false">Inputs!L96</f>
        <v>0.086</v>
      </c>
      <c r="M26" s="40" t="n">
        <f aca="false">Inputs!M96</f>
        <v>0.086</v>
      </c>
      <c r="N26" s="40" t="n">
        <f aca="false">Inputs!N96</f>
        <v>0.086</v>
      </c>
    </row>
    <row r="27" customFormat="false" ht="15" hidden="false" customHeight="false" outlineLevel="0" collapsed="false">
      <c r="A27" s="7" t="s">
        <v>301</v>
      </c>
      <c r="B27" s="2" t="s">
        <v>147</v>
      </c>
      <c r="C27" s="8" t="n">
        <f aca="false">Historicals!B14</f>
        <v>569</v>
      </c>
      <c r="D27" s="8" t="n">
        <f aca="false">Historicals!C14</f>
        <v>690</v>
      </c>
      <c r="E27" s="19" t="n">
        <f aca="false">E22*E26</f>
        <v>801.79348</v>
      </c>
      <c r="F27" s="19" t="n">
        <f aca="false">F22*F26</f>
        <v>871.71733</v>
      </c>
      <c r="G27" s="19" t="n">
        <f aca="false">G22*G26</f>
        <v>950.1718897</v>
      </c>
      <c r="H27" s="19" t="n">
        <f aca="false">H22*H26</f>
        <v>1026.185640876</v>
      </c>
      <c r="I27" s="19" t="n">
        <f aca="false">I22*I26</f>
        <v>1104.47756888872</v>
      </c>
      <c r="J27" s="19" t="n">
        <f aca="false">J22*J26</f>
        <v>1188.70205718292</v>
      </c>
      <c r="K27" s="19" t="n">
        <f aca="false">K22*K26</f>
        <v>1260.0241806139</v>
      </c>
      <c r="L27" s="19" t="n">
        <f aca="false">L22*L26</f>
        <v>1323.02538964459</v>
      </c>
      <c r="M27" s="19" t="n">
        <f aca="false">M22*M26</f>
        <v>1389.17665912682</v>
      </c>
      <c r="N27" s="19" t="n">
        <f aca="false">N22*N26</f>
        <v>1444.74372549189</v>
      </c>
    </row>
    <row r="28" customFormat="false" ht="15" hidden="false" customHeight="false" outlineLevel="0" collapsed="false">
      <c r="A28" s="7" t="s">
        <v>302</v>
      </c>
      <c r="B28" s="2" t="s">
        <v>147</v>
      </c>
      <c r="E28" s="8" t="n">
        <f aca="false">Inputs!E99</f>
        <v>-25</v>
      </c>
      <c r="F28" s="8" t="n">
        <f aca="false">Inputs!F99</f>
        <v>-75</v>
      </c>
      <c r="G28" s="8" t="n">
        <f aca="false">Inputs!G99</f>
        <v>-80</v>
      </c>
      <c r="H28" s="8" t="n">
        <f aca="false">Inputs!H99</f>
        <v>-88</v>
      </c>
      <c r="I28" s="8" t="n">
        <f aca="false">Inputs!I99</f>
        <v>-95</v>
      </c>
      <c r="J28" s="8" t="n">
        <f aca="false">Inputs!J99</f>
        <v>-100</v>
      </c>
      <c r="K28" s="8" t="n">
        <f aca="false">Inputs!K99</f>
        <v>-106</v>
      </c>
      <c r="L28" s="8" t="n">
        <f aca="false">Inputs!L99</f>
        <v>-111</v>
      </c>
      <c r="M28" s="8" t="n">
        <f aca="false">Inputs!M99</f>
        <v>-116</v>
      </c>
      <c r="N28" s="8" t="n">
        <f aca="false">Inputs!N99</f>
        <v>-121</v>
      </c>
    </row>
    <row r="29" customFormat="false" ht="15" hidden="false" customHeight="false" outlineLevel="0" collapsed="false">
      <c r="A29" s="9" t="s">
        <v>89</v>
      </c>
      <c r="B29" s="41" t="s">
        <v>147</v>
      </c>
      <c r="C29" s="43" t="n">
        <f aca="false">C27</f>
        <v>569</v>
      </c>
      <c r="D29" s="43" t="n">
        <f aca="false">D27</f>
        <v>690</v>
      </c>
      <c r="E29" s="43" t="n">
        <f aca="false">E27+E28</f>
        <v>776.79348</v>
      </c>
      <c r="F29" s="43" t="n">
        <f aca="false">F27+F28</f>
        <v>796.71733</v>
      </c>
      <c r="G29" s="43" t="n">
        <f aca="false">G27+G28</f>
        <v>870.1718897</v>
      </c>
      <c r="H29" s="43" t="n">
        <f aca="false">H27+H28</f>
        <v>938.185640876</v>
      </c>
      <c r="I29" s="43" t="n">
        <f aca="false">I27+I28</f>
        <v>1009.47756888872</v>
      </c>
      <c r="J29" s="43" t="n">
        <f aca="false">J27+J28</f>
        <v>1088.70205718292</v>
      </c>
      <c r="K29" s="43" t="n">
        <f aca="false">K27+K28</f>
        <v>1154.0241806139</v>
      </c>
      <c r="L29" s="43" t="n">
        <f aca="false">L27+L28</f>
        <v>1212.02538964459</v>
      </c>
      <c r="M29" s="43" t="n">
        <f aca="false">M27+M28</f>
        <v>1273.17665912682</v>
      </c>
      <c r="N29" s="43" t="n">
        <f aca="false">N27+N28</f>
        <v>1323.74372549189</v>
      </c>
    </row>
    <row r="30" customFormat="false" ht="15" hidden="false" customHeight="false" outlineLevel="0" collapsed="false">
      <c r="A30" s="3" t="s">
        <v>303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customFormat="false" ht="15" hidden="false" customHeight="false" outlineLevel="0" collapsed="false">
      <c r="A31" s="7" t="s">
        <v>304</v>
      </c>
      <c r="B31" s="2" t="s">
        <v>147</v>
      </c>
      <c r="C31" s="8" t="n">
        <f aca="false">Historicals!B15</f>
        <v>253</v>
      </c>
      <c r="D31" s="8" t="n">
        <f aca="false">Historicals!C15</f>
        <v>347</v>
      </c>
      <c r="E31" s="19" t="n">
        <f aca="false">D31*(1+E32)</f>
        <v>589.9</v>
      </c>
      <c r="F31" s="19" t="n">
        <f aca="false">E31*(1+F32)</f>
        <v>778.668</v>
      </c>
      <c r="G31" s="19" t="n">
        <f aca="false">F31*(1+G32)</f>
        <v>973.335</v>
      </c>
      <c r="H31" s="19" t="n">
        <f aca="false">G31*(1+H32)</f>
        <v>1148.5353</v>
      </c>
      <c r="I31" s="19" t="n">
        <f aca="false">H31*(1+I32)</f>
        <v>1320.815595</v>
      </c>
      <c r="J31" s="19" t="n">
        <f aca="false">I31*(1+J32)</f>
        <v>1479.3134664</v>
      </c>
      <c r="K31" s="19" t="n">
        <f aca="false">J31*(1+K32)</f>
        <v>1627.24481304</v>
      </c>
      <c r="L31" s="19" t="n">
        <f aca="false">K31*(1+L32)</f>
        <v>1773.6968462136</v>
      </c>
      <c r="M31" s="19" t="n">
        <f aca="false">L31*(1+M32)</f>
        <v>1915.59259391069</v>
      </c>
      <c r="N31" s="19" t="n">
        <f aca="false">M31*(1+N32)</f>
        <v>2049.68407548444</v>
      </c>
    </row>
    <row r="32" customFormat="false" ht="15" hidden="false" customHeight="false" outlineLevel="0" collapsed="false">
      <c r="A32" s="7" t="s">
        <v>48</v>
      </c>
      <c r="B32" s="2" t="s">
        <v>155</v>
      </c>
      <c r="D32" s="14" t="n">
        <f aca="false">D31/C31-1</f>
        <v>0.371541501976285</v>
      </c>
      <c r="E32" s="15" t="n">
        <f aca="false">Inputs!E102</f>
        <v>0.7</v>
      </c>
      <c r="F32" s="15" t="n">
        <f aca="false">Inputs!F102</f>
        <v>0.32</v>
      </c>
      <c r="G32" s="15" t="n">
        <f aca="false">Inputs!G102</f>
        <v>0.25</v>
      </c>
      <c r="H32" s="15" t="n">
        <f aca="false">Inputs!H102</f>
        <v>0.18</v>
      </c>
      <c r="I32" s="15" t="n">
        <f aca="false">Inputs!I102</f>
        <v>0.15</v>
      </c>
      <c r="J32" s="15" t="n">
        <f aca="false">Inputs!J102</f>
        <v>0.12</v>
      </c>
      <c r="K32" s="15" t="n">
        <f aca="false">Inputs!K102</f>
        <v>0.1</v>
      </c>
      <c r="L32" s="15" t="n">
        <f aca="false">Inputs!L102</f>
        <v>0.09</v>
      </c>
      <c r="M32" s="15" t="n">
        <f aca="false">Inputs!M102</f>
        <v>0.08</v>
      </c>
      <c r="N32" s="15" t="n">
        <f aca="false">Inputs!N102</f>
        <v>0.07</v>
      </c>
    </row>
    <row r="33" customFormat="false" ht="15" hidden="false" customHeight="false" outlineLevel="0" collapsed="false">
      <c r="A33" s="7" t="s">
        <v>305</v>
      </c>
      <c r="B33" s="2" t="s">
        <v>155</v>
      </c>
      <c r="C33" s="14" t="n">
        <f aca="false">C34/C31</f>
        <v>-0.41501976284585</v>
      </c>
      <c r="D33" s="14" t="n">
        <f aca="false">D34/D31</f>
        <v>-0.31700288184438</v>
      </c>
      <c r="E33" s="15" t="n">
        <f aca="false">Inputs!E105</f>
        <v>-0.055</v>
      </c>
      <c r="F33" s="15" t="n">
        <f aca="false">Inputs!F105</f>
        <v>0.03</v>
      </c>
      <c r="G33" s="15" t="n">
        <f aca="false">Inputs!G105</f>
        <v>0.1</v>
      </c>
      <c r="H33" s="15" t="n">
        <f aca="false">Inputs!H105</f>
        <v>0.13</v>
      </c>
      <c r="I33" s="15" t="n">
        <f aca="false">Inputs!I105</f>
        <v>0.16</v>
      </c>
      <c r="J33" s="15" t="n">
        <f aca="false">Inputs!J105</f>
        <v>0.18</v>
      </c>
      <c r="K33" s="15" t="n">
        <f aca="false">Inputs!K105</f>
        <v>0.19</v>
      </c>
      <c r="L33" s="15" t="n">
        <f aca="false">Inputs!L105</f>
        <v>0.2</v>
      </c>
      <c r="M33" s="15" t="n">
        <f aca="false">Inputs!M105</f>
        <v>0.2</v>
      </c>
      <c r="N33" s="15" t="n">
        <f aca="false">Inputs!N105</f>
        <v>0.2</v>
      </c>
    </row>
    <row r="34" customFormat="false" ht="15" hidden="false" customHeight="false" outlineLevel="0" collapsed="false">
      <c r="A34" s="7" t="s">
        <v>306</v>
      </c>
      <c r="B34" s="2" t="s">
        <v>147</v>
      </c>
      <c r="C34" s="8" t="n">
        <f aca="false">Historicals!B16</f>
        <v>-105</v>
      </c>
      <c r="D34" s="8" t="n">
        <f aca="false">Historicals!C16</f>
        <v>-110</v>
      </c>
      <c r="E34" s="19" t="n">
        <f aca="false">E31*E33</f>
        <v>-32.4445</v>
      </c>
      <c r="F34" s="19" t="n">
        <f aca="false">F31*F33</f>
        <v>23.36004</v>
      </c>
      <c r="G34" s="19" t="n">
        <f aca="false">G31*G33</f>
        <v>97.3335</v>
      </c>
      <c r="H34" s="19" t="n">
        <f aca="false">H31*H33</f>
        <v>149.309589</v>
      </c>
      <c r="I34" s="19" t="n">
        <f aca="false">I31*I33</f>
        <v>211.3304952</v>
      </c>
      <c r="J34" s="19" t="n">
        <f aca="false">J31*J33</f>
        <v>266.276423952</v>
      </c>
      <c r="K34" s="19" t="n">
        <f aca="false">K31*K33</f>
        <v>309.1765144776</v>
      </c>
      <c r="L34" s="19" t="n">
        <f aca="false">L31*L33</f>
        <v>354.73936924272</v>
      </c>
      <c r="M34" s="19" t="n">
        <f aca="false">M31*M33</f>
        <v>383.118518782138</v>
      </c>
      <c r="N34" s="19" t="n">
        <f aca="false">N31*N33</f>
        <v>409.936815096887</v>
      </c>
    </row>
    <row r="35" customFormat="false" ht="15" hidden="false" customHeight="false" outlineLevel="0" collapsed="false">
      <c r="A35" s="7" t="s">
        <v>307</v>
      </c>
      <c r="B35" s="2" t="s">
        <v>147</v>
      </c>
      <c r="E35" s="8" t="n">
        <f aca="false">Inputs!E111</f>
        <v>480</v>
      </c>
      <c r="F35" s="8" t="n">
        <f aca="false">Inputs!F111</f>
        <v>520</v>
      </c>
      <c r="G35" s="8" t="n">
        <f aca="false">Inputs!G111</f>
        <v>580</v>
      </c>
      <c r="H35" s="8" t="n">
        <f aca="false">Inputs!H111</f>
        <v>640</v>
      </c>
      <c r="I35" s="8" t="n">
        <f aca="false">Inputs!I111</f>
        <v>700</v>
      </c>
      <c r="J35" s="8" t="n">
        <f aca="false">Inputs!J111</f>
        <v>750</v>
      </c>
      <c r="K35" s="8" t="n">
        <f aca="false">Inputs!K111</f>
        <v>800</v>
      </c>
      <c r="L35" s="8" t="n">
        <f aca="false">Inputs!L111</f>
        <v>850</v>
      </c>
      <c r="M35" s="8" t="n">
        <f aca="false">Inputs!M111</f>
        <v>890</v>
      </c>
      <c r="N35" s="8" t="n">
        <f aca="false">Inputs!N111</f>
        <v>930</v>
      </c>
    </row>
    <row r="36" customFormat="false" ht="15" hidden="false" customHeight="false" outlineLevel="0" collapsed="false">
      <c r="A36" s="7" t="s">
        <v>293</v>
      </c>
      <c r="B36" s="2" t="s">
        <v>160</v>
      </c>
      <c r="E36" s="44" t="n">
        <f aca="false">Inputs!E114</f>
        <v>0</v>
      </c>
      <c r="F36" s="44" t="n">
        <f aca="false">Inputs!F114</f>
        <v>0</v>
      </c>
      <c r="G36" s="44" t="n">
        <f aca="false">Inputs!G114</f>
        <v>1</v>
      </c>
      <c r="H36" s="44" t="n">
        <f aca="false">Inputs!H114</f>
        <v>1</v>
      </c>
      <c r="I36" s="44" t="n">
        <f aca="false">Inputs!I114</f>
        <v>1</v>
      </c>
      <c r="J36" s="44" t="n">
        <f aca="false">Inputs!J114</f>
        <v>1</v>
      </c>
      <c r="K36" s="44" t="n">
        <f aca="false">Inputs!K114</f>
        <v>1</v>
      </c>
      <c r="L36" s="44" t="n">
        <f aca="false">Inputs!L114</f>
        <v>1</v>
      </c>
      <c r="M36" s="44" t="n">
        <f aca="false">Inputs!M114</f>
        <v>1</v>
      </c>
      <c r="N36" s="44" t="n">
        <f aca="false">Inputs!N114</f>
        <v>1</v>
      </c>
    </row>
    <row r="37" customFormat="false" ht="15" hidden="false" customHeight="false" outlineLevel="0" collapsed="false">
      <c r="A37" s="7" t="s">
        <v>308</v>
      </c>
      <c r="B37" s="2" t="s">
        <v>147</v>
      </c>
      <c r="E37" s="19" t="n">
        <f aca="false">E35*E36</f>
        <v>0</v>
      </c>
      <c r="F37" s="19" t="n">
        <f aca="false">F35*F36</f>
        <v>0</v>
      </c>
      <c r="G37" s="19" t="n">
        <f aca="false">G35*G36</f>
        <v>580</v>
      </c>
      <c r="H37" s="19" t="n">
        <f aca="false">H35*H36</f>
        <v>640</v>
      </c>
      <c r="I37" s="19" t="n">
        <f aca="false">I35*I36</f>
        <v>700</v>
      </c>
      <c r="J37" s="19" t="n">
        <f aca="false">J35*J36</f>
        <v>750</v>
      </c>
      <c r="K37" s="19" t="n">
        <f aca="false">K35*K36</f>
        <v>800</v>
      </c>
      <c r="L37" s="19" t="n">
        <f aca="false">L35*L36</f>
        <v>850</v>
      </c>
      <c r="M37" s="19" t="n">
        <f aca="false">M35*M36</f>
        <v>890</v>
      </c>
      <c r="N37" s="19" t="n">
        <f aca="false">N35*N36</f>
        <v>930</v>
      </c>
    </row>
    <row r="38" customFormat="false" ht="15" hidden="false" customHeight="false" outlineLevel="0" collapsed="false">
      <c r="A38" s="7" t="s">
        <v>309</v>
      </c>
      <c r="B38" s="2" t="s">
        <v>155</v>
      </c>
      <c r="E38" s="15" t="n">
        <f aca="false">Inputs!E117</f>
        <v>0.15</v>
      </c>
      <c r="F38" s="15" t="n">
        <f aca="false">Inputs!F117</f>
        <v>0.15</v>
      </c>
      <c r="G38" s="15" t="n">
        <f aca="false">Inputs!G117</f>
        <v>0.19</v>
      </c>
      <c r="H38" s="15" t="n">
        <f aca="false">Inputs!H117</f>
        <v>0.2</v>
      </c>
      <c r="I38" s="15" t="n">
        <f aca="false">Inputs!I117</f>
        <v>0.21</v>
      </c>
      <c r="J38" s="15" t="n">
        <f aca="false">Inputs!J117</f>
        <v>0.22</v>
      </c>
      <c r="K38" s="15" t="n">
        <f aca="false">Inputs!K117</f>
        <v>0.22</v>
      </c>
      <c r="L38" s="15" t="n">
        <f aca="false">Inputs!L117</f>
        <v>0.22</v>
      </c>
      <c r="M38" s="15" t="n">
        <f aca="false">Inputs!M117</f>
        <v>0.22</v>
      </c>
      <c r="N38" s="15" t="n">
        <f aca="false">Inputs!N117</f>
        <v>0.22</v>
      </c>
    </row>
    <row r="39" customFormat="false" ht="15" hidden="false" customHeight="false" outlineLevel="0" collapsed="false">
      <c r="A39" s="7" t="s">
        <v>310</v>
      </c>
      <c r="B39" s="2" t="s">
        <v>147</v>
      </c>
      <c r="E39" s="19" t="n">
        <f aca="false">E37*E38</f>
        <v>0</v>
      </c>
      <c r="F39" s="19" t="n">
        <f aca="false">F37*F38</f>
        <v>0</v>
      </c>
      <c r="G39" s="19" t="n">
        <f aca="false">G37*G38</f>
        <v>110.2</v>
      </c>
      <c r="H39" s="19" t="n">
        <f aca="false">H37*H38</f>
        <v>128</v>
      </c>
      <c r="I39" s="19" t="n">
        <f aca="false">I37*I38</f>
        <v>147</v>
      </c>
      <c r="J39" s="19" t="n">
        <f aca="false">J37*J38</f>
        <v>165</v>
      </c>
      <c r="K39" s="19" t="n">
        <f aca="false">K37*K38</f>
        <v>176</v>
      </c>
      <c r="L39" s="19" t="n">
        <f aca="false">L37*L38</f>
        <v>187</v>
      </c>
      <c r="M39" s="19" t="n">
        <f aca="false">M37*M38</f>
        <v>195.8</v>
      </c>
      <c r="N39" s="19" t="n">
        <f aca="false">N37*N38</f>
        <v>204.6</v>
      </c>
    </row>
    <row r="40" customFormat="false" ht="15" hidden="false" customHeight="false" outlineLevel="0" collapsed="false">
      <c r="A40" s="7" t="s">
        <v>311</v>
      </c>
      <c r="B40" s="2" t="s">
        <v>147</v>
      </c>
      <c r="C40" s="19" t="n">
        <f aca="false">C31</f>
        <v>253</v>
      </c>
      <c r="D40" s="19" t="n">
        <f aca="false">D31</f>
        <v>347</v>
      </c>
      <c r="E40" s="19" t="n">
        <f aca="false">E31+E37</f>
        <v>589.9</v>
      </c>
      <c r="F40" s="19" t="n">
        <f aca="false">F31+F37</f>
        <v>778.668</v>
      </c>
      <c r="G40" s="19" t="n">
        <f aca="false">G31+G37</f>
        <v>1553.335</v>
      </c>
      <c r="H40" s="19" t="n">
        <f aca="false">H31+H37</f>
        <v>1788.5353</v>
      </c>
      <c r="I40" s="19" t="n">
        <f aca="false">I31+I37</f>
        <v>2020.815595</v>
      </c>
      <c r="J40" s="19" t="n">
        <f aca="false">J31+J37</f>
        <v>2229.3134664</v>
      </c>
      <c r="K40" s="19" t="n">
        <f aca="false">K31+K37</f>
        <v>2427.24481304</v>
      </c>
      <c r="L40" s="19" t="n">
        <f aca="false">L31+L37</f>
        <v>2623.6968462136</v>
      </c>
      <c r="M40" s="19" t="n">
        <f aca="false">M31+M37</f>
        <v>2805.59259391069</v>
      </c>
      <c r="N40" s="19" t="n">
        <f aca="false">N31+N37</f>
        <v>2979.68407548444</v>
      </c>
    </row>
    <row r="41" customFormat="false" ht="15" hidden="false" customHeight="false" outlineLevel="0" collapsed="false">
      <c r="A41" s="9" t="s">
        <v>312</v>
      </c>
      <c r="B41" s="41" t="s">
        <v>147</v>
      </c>
      <c r="C41" s="43" t="n">
        <f aca="false">C34</f>
        <v>-105</v>
      </c>
      <c r="D41" s="43" t="n">
        <f aca="false">D34</f>
        <v>-110</v>
      </c>
      <c r="E41" s="43" t="n">
        <f aca="false">E34+E39</f>
        <v>-32.4445</v>
      </c>
      <c r="F41" s="43" t="n">
        <f aca="false">F34+F39</f>
        <v>23.36004</v>
      </c>
      <c r="G41" s="43" t="n">
        <f aca="false">G34+G39</f>
        <v>207.5335</v>
      </c>
      <c r="H41" s="43" t="n">
        <f aca="false">H34+H39</f>
        <v>277.309589</v>
      </c>
      <c r="I41" s="43" t="n">
        <f aca="false">I34+I39</f>
        <v>358.3304952</v>
      </c>
      <c r="J41" s="43" t="n">
        <f aca="false">J34+J39</f>
        <v>431.276423952</v>
      </c>
      <c r="K41" s="43" t="n">
        <f aca="false">K34+K39</f>
        <v>485.1765144776</v>
      </c>
      <c r="L41" s="43" t="n">
        <f aca="false">L34+L39</f>
        <v>541.73936924272</v>
      </c>
      <c r="M41" s="43" t="n">
        <f aca="false">M34+M39</f>
        <v>578.918518782138</v>
      </c>
      <c r="N41" s="43" t="n">
        <f aca="false">N34+N39</f>
        <v>614.536815096887</v>
      </c>
    </row>
    <row r="42" customFormat="false" ht="15" hidden="false" customHeight="false" outlineLevel="0" collapsed="false">
      <c r="A42" s="3" t="s">
        <v>313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customFormat="false" ht="15" hidden="false" customHeight="false" outlineLevel="0" collapsed="false">
      <c r="A43" s="7" t="s">
        <v>92</v>
      </c>
      <c r="B43" s="2" t="s">
        <v>147</v>
      </c>
      <c r="C43" s="8" t="n">
        <f aca="false">Historicals!B17</f>
        <v>4</v>
      </c>
      <c r="D43" s="8" t="n">
        <f aca="false">Historicals!C17</f>
        <v>4</v>
      </c>
      <c r="E43" s="19" t="n">
        <f aca="false">D43*(1+Inputs!$B$34)</f>
        <v>4.4</v>
      </c>
      <c r="F43" s="19" t="n">
        <f aca="false">E43*(1+Inputs!$B$34)</f>
        <v>4.84</v>
      </c>
      <c r="G43" s="19" t="n">
        <f aca="false">F43*(1+Inputs!$B$34)</f>
        <v>5.324</v>
      </c>
      <c r="H43" s="19" t="n">
        <f aca="false">G43*(1+Inputs!$B$34)</f>
        <v>5.8564</v>
      </c>
      <c r="I43" s="19" t="n">
        <f aca="false">H43*(1+Inputs!$B$34)</f>
        <v>6.44204</v>
      </c>
      <c r="J43" s="19" t="n">
        <f aca="false">I43*(1+Inputs!$B$34)</f>
        <v>7.086244</v>
      </c>
      <c r="K43" s="19" t="n">
        <f aca="false">J43*(1+Inputs!$B$34)</f>
        <v>7.79486840000001</v>
      </c>
      <c r="L43" s="19" t="n">
        <f aca="false">K43*(1+Inputs!$B$34)</f>
        <v>8.57435524000001</v>
      </c>
      <c r="M43" s="19" t="n">
        <f aca="false">L43*(1+Inputs!$B$34)</f>
        <v>9.43179076400001</v>
      </c>
      <c r="N43" s="19" t="n">
        <f aca="false">M43*(1+Inputs!$B$34)</f>
        <v>10.3749698404</v>
      </c>
    </row>
    <row r="44" customFormat="false" ht="15" hidden="false" customHeight="false" outlineLevel="0" collapsed="false">
      <c r="A44" s="7" t="s">
        <v>93</v>
      </c>
      <c r="B44" s="2" t="s">
        <v>147</v>
      </c>
      <c r="C44" s="8" t="n">
        <f aca="false">Historicals!B18</f>
        <v>3</v>
      </c>
      <c r="D44" s="8" t="n">
        <f aca="false">Historicals!C18</f>
        <v>1</v>
      </c>
      <c r="E44" s="19" t="n">
        <f aca="false">0</f>
        <v>0</v>
      </c>
      <c r="F44" s="19" t="n">
        <f aca="false">0</f>
        <v>0</v>
      </c>
      <c r="G44" s="19" t="n">
        <f aca="false">0</f>
        <v>0</v>
      </c>
      <c r="H44" s="19" t="n">
        <f aca="false">0</f>
        <v>0</v>
      </c>
      <c r="I44" s="19" t="n">
        <f aca="false">0</f>
        <v>0</v>
      </c>
      <c r="J44" s="19" t="n">
        <f aca="false">0</f>
        <v>0</v>
      </c>
      <c r="K44" s="19" t="n">
        <f aca="false">0</f>
        <v>0</v>
      </c>
      <c r="L44" s="19" t="n">
        <f aca="false">0</f>
        <v>0</v>
      </c>
      <c r="M44" s="19" t="n">
        <f aca="false">0</f>
        <v>0</v>
      </c>
      <c r="N44" s="19" t="n">
        <f aca="false">0</f>
        <v>0</v>
      </c>
      <c r="O44" s="2" t="s">
        <v>314</v>
      </c>
    </row>
    <row r="45" customFormat="false" ht="15" hidden="false" customHeight="false" outlineLevel="0" collapsed="false">
      <c r="A45" s="3" t="s">
        <v>315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customFormat="false" ht="15" hidden="false" customHeight="false" outlineLevel="0" collapsed="false">
      <c r="A46" s="7" t="s">
        <v>316</v>
      </c>
      <c r="B46" s="2" t="s">
        <v>147</v>
      </c>
      <c r="C46" s="8" t="n">
        <f aca="false">Historicals!B5</f>
        <v>18364</v>
      </c>
      <c r="D46" s="8" t="n">
        <f aca="false">Historicals!C5</f>
        <v>22138</v>
      </c>
      <c r="E46" s="19" t="n">
        <f aca="false">E6+E16+E22</f>
        <v>26548.74</v>
      </c>
      <c r="F46" s="19" t="n">
        <f aca="false">F6+F16+F22</f>
        <v>31252.892</v>
      </c>
      <c r="G46" s="19" t="n">
        <f aca="false">G6+G16+G22</f>
        <v>35178.78804</v>
      </c>
      <c r="H46" s="19" t="n">
        <f aca="false">H6+H16+H22</f>
        <v>38583.8455398</v>
      </c>
      <c r="I46" s="19" t="n">
        <f aca="false">I6+I16+I22</f>
        <v>41715.08716947</v>
      </c>
      <c r="J46" s="19" t="n">
        <f aca="false">J6+J16+J22</f>
        <v>44837.4117343997</v>
      </c>
      <c r="K46" s="19" t="n">
        <f aca="false">K6+K16+K22</f>
        <v>47767.1894999934</v>
      </c>
      <c r="L46" s="19" t="n">
        <f aca="false">L6+L16+L22</f>
        <v>50432.1525681625</v>
      </c>
      <c r="M46" s="19" t="n">
        <f aca="false">M6+M16+M22</f>
        <v>52897.5697184797</v>
      </c>
      <c r="N46" s="19" t="n">
        <f aca="false">N6+N16+N22</f>
        <v>55323.601747085</v>
      </c>
    </row>
    <row r="47" customFormat="false" ht="15" hidden="false" customHeight="false" outlineLevel="0" collapsed="false">
      <c r="A47" s="9" t="s">
        <v>47</v>
      </c>
      <c r="B47" s="41" t="s">
        <v>147</v>
      </c>
      <c r="C47" s="43" t="n">
        <f aca="false">C9+C25+C40+C43</f>
        <v>2797</v>
      </c>
      <c r="D47" s="43" t="n">
        <f aca="false">D9+D25+D40+D43</f>
        <v>3370</v>
      </c>
      <c r="E47" s="43" t="n">
        <f aca="false">E9+E18+E25+E40+E43</f>
        <v>4100.0665</v>
      </c>
      <c r="F47" s="43" t="n">
        <f aca="false">F9+F18+F25+F40+F43</f>
        <v>4785.446688</v>
      </c>
      <c r="G47" s="43" t="n">
        <f aca="false">G9+G18+G25+G40+G43</f>
        <v>6016.79538754</v>
      </c>
      <c r="H47" s="43" t="n">
        <f aca="false">H9+H18+H25+H40+H43</f>
        <v>6680.2008502484</v>
      </c>
      <c r="I47" s="43" t="n">
        <f aca="false">I9+I18+I25+I40+I43</f>
        <v>7306.71350546764</v>
      </c>
      <c r="J47" s="43" t="n">
        <f aca="false">J9+J18+J25+J40+J43</f>
        <v>7909.20292534028</v>
      </c>
      <c r="K47" s="43" t="n">
        <f aca="false">K9+K18+K25+K40+K43</f>
        <v>8476.74557889117</v>
      </c>
      <c r="L47" s="43" t="n">
        <f aca="false">L9+L18+L25+L40+L43</f>
        <v>9009.33523200473</v>
      </c>
      <c r="M47" s="43" t="n">
        <f aca="false">M9+M18+M25+M40+M43</f>
        <v>9503.35590221109</v>
      </c>
      <c r="N47" s="43" t="n">
        <f aca="false">N9+N18+N25+N40+N43</f>
        <v>9983.26286700004</v>
      </c>
    </row>
    <row r="48" customFormat="false" ht="15" hidden="false" customHeight="false" outlineLevel="0" collapsed="false">
      <c r="A48" s="7" t="s">
        <v>48</v>
      </c>
      <c r="B48" s="2" t="s">
        <v>155</v>
      </c>
      <c r="D48" s="14" t="n">
        <f aca="false">D47/C47-1</f>
        <v>0.204862352520558</v>
      </c>
      <c r="E48" s="14" t="n">
        <f aca="false">E47/D47-1</f>
        <v>0.216636943620178</v>
      </c>
      <c r="F48" s="14" t="n">
        <f aca="false">F47/E47-1</f>
        <v>0.167163188206825</v>
      </c>
      <c r="G48" s="14" t="n">
        <f aca="false">G47/F47-1</f>
        <v>0.257311130981301</v>
      </c>
      <c r="H48" s="14" t="n">
        <f aca="false">H47/G47-1</f>
        <v>0.110258936855693</v>
      </c>
      <c r="I48" s="14" t="n">
        <f aca="false">I47/H47-1</f>
        <v>0.0937864997271662</v>
      </c>
      <c r="J48" s="14" t="n">
        <f aca="false">J47/I47-1</f>
        <v>0.0824569650119438</v>
      </c>
      <c r="K48" s="14" t="n">
        <f aca="false">K47/J47-1</f>
        <v>0.0717572502448438</v>
      </c>
      <c r="L48" s="14" t="n">
        <f aca="false">L47/K47-1</f>
        <v>0.0628294960792282</v>
      </c>
      <c r="M48" s="14" t="n">
        <f aca="false">M47/L47-1</f>
        <v>0.0548343088013206</v>
      </c>
      <c r="N48" s="14" t="n">
        <f aca="false">N47/M47-1</f>
        <v>0.0504986838046644</v>
      </c>
    </row>
    <row r="49" customFormat="false" ht="15" hidden="false" customHeight="false" outlineLevel="0" collapsed="false">
      <c r="A49" s="7" t="s">
        <v>94</v>
      </c>
      <c r="B49" s="2" t="s">
        <v>147</v>
      </c>
      <c r="C49" s="19" t="n">
        <f aca="false">C11+C29+C41+C44</f>
        <v>663</v>
      </c>
      <c r="D49" s="19" t="n">
        <f aca="false">D11+D29+D41+D44</f>
        <v>868</v>
      </c>
      <c r="E49" s="19" t="n">
        <f aca="false">E11+E20+E29+E41+E44</f>
        <v>1119.866188</v>
      </c>
      <c r="F49" s="19" t="n">
        <f aca="false">F11+F20+F29+F41+F44</f>
        <v>1273.718129</v>
      </c>
      <c r="G49" s="19" t="n">
        <f aca="false">G11+G20+G29+G41+G44</f>
        <v>1680.82667781</v>
      </c>
      <c r="H49" s="19" t="n">
        <f aca="false">H11+H20+H29+H41+H44</f>
        <v>1915.5424465723</v>
      </c>
      <c r="I49" s="19" t="n">
        <f aca="false">I11+I20+I29+I41+I44</f>
        <v>2160.58867537836</v>
      </c>
      <c r="J49" s="19" t="n">
        <f aca="false">J11+J20+J29+J41+J44</f>
        <v>2406.56262840071</v>
      </c>
      <c r="K49" s="19" t="n">
        <f aca="false">K11+K20+K29+K41+K44</f>
        <v>2601.37577780727</v>
      </c>
      <c r="L49" s="19" t="n">
        <f aca="false">L11+L20+L29+L41+L44</f>
        <v>2788.62129093588</v>
      </c>
      <c r="M49" s="19" t="n">
        <f aca="false">M11+M20+M29+M41+M44</f>
        <v>2954.42576046562</v>
      </c>
      <c r="N49" s="19" t="n">
        <f aca="false">N11+N20+N29+N41+N44</f>
        <v>3094.00822364369</v>
      </c>
    </row>
    <row r="50" customFormat="false" ht="15" hidden="false" customHeight="false" outlineLevel="0" collapsed="false">
      <c r="A50" s="7" t="s">
        <v>95</v>
      </c>
      <c r="B50" s="2" t="s">
        <v>147</v>
      </c>
      <c r="C50" s="8" t="n">
        <f aca="false">Historicals!B21</f>
        <v>350</v>
      </c>
      <c r="D50" s="8" t="n">
        <f aca="false">Historicals!C21</f>
        <v>368</v>
      </c>
      <c r="E50" s="19" t="n">
        <f aca="false">D50*(1+E51)</f>
        <v>425.04</v>
      </c>
      <c r="F50" s="19" t="n">
        <f aca="false">E50*(1+F51)</f>
        <v>467.544</v>
      </c>
      <c r="G50" s="19" t="n">
        <f aca="false">F50*(1+G51)</f>
        <v>504.94752</v>
      </c>
      <c r="H50" s="19" t="n">
        <f aca="false">G50*(1+H51)</f>
        <v>545.3433216</v>
      </c>
      <c r="I50" s="19" t="n">
        <f aca="false">H50*(1+I51)</f>
        <v>583.517354112</v>
      </c>
      <c r="J50" s="19" t="n">
        <f aca="false">I50*(1+J51)</f>
        <v>618.52839535872</v>
      </c>
      <c r="K50" s="19" t="n">
        <f aca="false">J50*(1+K51)</f>
        <v>655.640099080243</v>
      </c>
      <c r="L50" s="19" t="n">
        <f aca="false">K50*(1+L51)</f>
        <v>688.422104034256</v>
      </c>
      <c r="M50" s="19" t="n">
        <f aca="false">L50*(1+M51)</f>
        <v>722.843209235969</v>
      </c>
      <c r="N50" s="19" t="n">
        <f aca="false">M50*(1+N51)</f>
        <v>758.985369697767</v>
      </c>
    </row>
    <row r="51" customFormat="false" ht="15" hidden="false" customHeight="false" outlineLevel="0" collapsed="false">
      <c r="A51" s="7" t="s">
        <v>48</v>
      </c>
      <c r="B51" s="2" t="s">
        <v>155</v>
      </c>
      <c r="D51" s="14" t="n">
        <f aca="false">D50/C50-1</f>
        <v>0.0514285714285714</v>
      </c>
      <c r="E51" s="15" t="n">
        <f aca="false">Inputs!E126</f>
        <v>0.155</v>
      </c>
      <c r="F51" s="15" t="n">
        <f aca="false">Inputs!F126</f>
        <v>0.1</v>
      </c>
      <c r="G51" s="15" t="n">
        <f aca="false">Inputs!G126</f>
        <v>0.08</v>
      </c>
      <c r="H51" s="15" t="n">
        <f aca="false">Inputs!H126</f>
        <v>0.08</v>
      </c>
      <c r="I51" s="15" t="n">
        <f aca="false">Inputs!I126</f>
        <v>0.07</v>
      </c>
      <c r="J51" s="15" t="n">
        <f aca="false">Inputs!J126</f>
        <v>0.06</v>
      </c>
      <c r="K51" s="15" t="n">
        <f aca="false">Inputs!K126</f>
        <v>0.06</v>
      </c>
      <c r="L51" s="15" t="n">
        <f aca="false">Inputs!L126</f>
        <v>0.05</v>
      </c>
      <c r="M51" s="15" t="n">
        <f aca="false">Inputs!M126</f>
        <v>0.05</v>
      </c>
      <c r="N51" s="15" t="n">
        <f aca="false">Inputs!N126</f>
        <v>0.05</v>
      </c>
    </row>
    <row r="52" customFormat="false" ht="15" hidden="false" customHeight="false" outlineLevel="0" collapsed="false">
      <c r="A52" s="9" t="s">
        <v>49</v>
      </c>
      <c r="B52" s="41" t="s">
        <v>147</v>
      </c>
      <c r="C52" s="43" t="n">
        <f aca="false">C49-C50</f>
        <v>313</v>
      </c>
      <c r="D52" s="43" t="n">
        <f aca="false">D49-D50</f>
        <v>500</v>
      </c>
      <c r="E52" s="43" t="n">
        <f aca="false">E49-E50</f>
        <v>694.826188</v>
      </c>
      <c r="F52" s="43" t="n">
        <f aca="false">F49-F50</f>
        <v>806.174129</v>
      </c>
      <c r="G52" s="43" t="n">
        <f aca="false">G49-G50</f>
        <v>1175.87915781</v>
      </c>
      <c r="H52" s="43" t="n">
        <f aca="false">H49-H50</f>
        <v>1370.1991249723</v>
      </c>
      <c r="I52" s="43" t="n">
        <f aca="false">I49-I50</f>
        <v>1577.07132126636</v>
      </c>
      <c r="J52" s="43" t="n">
        <f aca="false">J49-J50</f>
        <v>1788.03423304199</v>
      </c>
      <c r="K52" s="43" t="n">
        <f aca="false">K49-K50</f>
        <v>1945.73567872703</v>
      </c>
      <c r="L52" s="43" t="n">
        <f aca="false">L49-L50</f>
        <v>2100.19918690162</v>
      </c>
      <c r="M52" s="43" t="n">
        <f aca="false">M49-M50</f>
        <v>2231.58255122965</v>
      </c>
      <c r="N52" s="43" t="n">
        <f aca="false">N49-N50</f>
        <v>2335.02285394593</v>
      </c>
    </row>
    <row r="53" customFormat="false" ht="15" hidden="false" customHeight="false" outlineLevel="0" collapsed="false">
      <c r="A53" s="7" t="s">
        <v>317</v>
      </c>
      <c r="B53" s="2" t="s">
        <v>155</v>
      </c>
      <c r="C53" s="14" t="n">
        <f aca="false">C52/C47</f>
        <v>0.111905613156954</v>
      </c>
      <c r="D53" s="14" t="n">
        <f aca="false">D52/D47</f>
        <v>0.148367952522255</v>
      </c>
      <c r="E53" s="14" t="n">
        <f aca="false">E52/E47</f>
        <v>0.169467053278282</v>
      </c>
      <c r="F53" s="14" t="n">
        <f aca="false">F52/F47</f>
        <v>0.168463715418994</v>
      </c>
      <c r="G53" s="14" t="n">
        <f aca="false">G52/G47</f>
        <v>0.195432798038154</v>
      </c>
      <c r="H53" s="14" t="n">
        <f aca="false">H52/H47</f>
        <v>0.205113462257853</v>
      </c>
      <c r="I53" s="14" t="n">
        <f aca="false">I52/I47</f>
        <v>0.215838669476535</v>
      </c>
      <c r="J53" s="14" t="n">
        <f aca="false">J52/J47</f>
        <v>0.226070092008047</v>
      </c>
      <c r="K53" s="14" t="n">
        <f aca="false">K52/K47</f>
        <v>0.229538053327011</v>
      </c>
      <c r="L53" s="14" t="n">
        <f aca="false">L52/L47</f>
        <v>0.233113668524719</v>
      </c>
      <c r="M53" s="14" t="n">
        <f aca="false">M52/M47</f>
        <v>0.234820475439675</v>
      </c>
      <c r="N53" s="14" t="n">
        <f aca="false">N52/N47</f>
        <v>0.233893756485609</v>
      </c>
    </row>
    <row r="54" customFormat="false" ht="15" hidden="false" customHeight="false" outlineLevel="0" collapsed="false">
      <c r="A54" s="7" t="s">
        <v>48</v>
      </c>
      <c r="B54" s="2" t="s">
        <v>155</v>
      </c>
      <c r="D54" s="14" t="n">
        <f aca="false">D52/C52-1</f>
        <v>0.597444089456869</v>
      </c>
      <c r="E54" s="14" t="n">
        <f aca="false">E52/D52-1</f>
        <v>0.389652376</v>
      </c>
      <c r="F54" s="14" t="n">
        <f aca="false">F52/E52-1</f>
        <v>0.160252942279718</v>
      </c>
      <c r="G54" s="14" t="n">
        <f aca="false">G52/F52-1</f>
        <v>0.458592028087768</v>
      </c>
      <c r="H54" s="14" t="n">
        <f aca="false">H52/G52-1</f>
        <v>0.16525504842199</v>
      </c>
      <c r="I54" s="14" t="n">
        <f aca="false">I52/H52-1</f>
        <v>0.150979658739925</v>
      </c>
      <c r="J54" s="14" t="n">
        <f aca="false">J52/I52-1</f>
        <v>0.133768783269883</v>
      </c>
      <c r="K54" s="14" t="n">
        <f aca="false">K52/J52-1</f>
        <v>0.0881982250511728</v>
      </c>
      <c r="L54" s="14" t="n">
        <f aca="false">L52/K52-1</f>
        <v>0.0793856585266748</v>
      </c>
      <c r="M54" s="14" t="n">
        <f aca="false">M52/L52-1</f>
        <v>0.0625575731804089</v>
      </c>
      <c r="N54" s="14" t="n">
        <f aca="false">N52/M52-1</f>
        <v>0.0463528909828035</v>
      </c>
    </row>
    <row r="55" customFormat="false" ht="15" hidden="false" customHeight="false" outlineLevel="0" collapsed="false">
      <c r="A55" s="7" t="s">
        <v>318</v>
      </c>
      <c r="B55" s="2" t="s">
        <v>147</v>
      </c>
      <c r="C55" s="19" t="n">
        <f aca="false">C52-Historicals!B22</f>
        <v>0</v>
      </c>
      <c r="D55" s="19" t="n">
        <f aca="false">D52-Historicals!C22</f>
        <v>0</v>
      </c>
      <c r="O55" s="2" t="s">
        <v>319</v>
      </c>
    </row>
    <row r="56" customFormat="false" ht="15" hidden="false" customHeight="false" outlineLevel="0" collapsed="false">
      <c r="A56" s="3" t="s">
        <v>320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customFormat="false" ht="15" hidden="false" customHeight="false" outlineLevel="0" collapsed="false">
      <c r="A57" s="7" t="s">
        <v>51</v>
      </c>
      <c r="B57" s="2" t="s">
        <v>147</v>
      </c>
      <c r="C57" s="8" t="n">
        <f aca="false">Historicals!B25</f>
        <v>279</v>
      </c>
      <c r="D57" s="8" t="n">
        <f aca="false">Historicals!C25</f>
        <v>241</v>
      </c>
      <c r="E57" s="19" t="n">
        <f aca="false">E47*E58</f>
        <v>266.5043225</v>
      </c>
      <c r="F57" s="19" t="n">
        <f aca="false">F47*F58</f>
        <v>287.12680128</v>
      </c>
      <c r="G57" s="19" t="n">
        <f aca="false">G47*G58</f>
        <v>330.9237463147</v>
      </c>
      <c r="H57" s="19" t="n">
        <f aca="false">H47*H58</f>
        <v>340.690243362668</v>
      </c>
      <c r="I57" s="19" t="n">
        <f aca="false">I47*I58</f>
        <v>350.722248262447</v>
      </c>
      <c r="J57" s="19" t="n">
        <f aca="false">J47*J58</f>
        <v>355.914131640313</v>
      </c>
      <c r="K57" s="19" t="n">
        <f aca="false">K47*K58</f>
        <v>364.50005989232</v>
      </c>
      <c r="L57" s="19" t="n">
        <f aca="false">L47*L58</f>
        <v>369.382744512194</v>
      </c>
      <c r="M57" s="19" t="n">
        <f aca="false">M47*M58</f>
        <v>370.630880186233</v>
      </c>
      <c r="N57" s="19" t="n">
        <f aca="false">N47*N58</f>
        <v>379.363988946002</v>
      </c>
    </row>
    <row r="58" customFormat="false" ht="15" hidden="false" customHeight="false" outlineLevel="0" collapsed="false">
      <c r="A58" s="7" t="s">
        <v>321</v>
      </c>
      <c r="B58" s="2" t="s">
        <v>155</v>
      </c>
      <c r="C58" s="14" t="n">
        <f aca="false">C57/C47</f>
        <v>0.0997497318555595</v>
      </c>
      <c r="D58" s="14" t="n">
        <f aca="false">D57/D47</f>
        <v>0.071513353115727</v>
      </c>
      <c r="E58" s="15" t="n">
        <f aca="false">Inputs!E129</f>
        <v>0.065</v>
      </c>
      <c r="F58" s="15" t="n">
        <f aca="false">Inputs!F129</f>
        <v>0.06</v>
      </c>
      <c r="G58" s="15" t="n">
        <f aca="false">Inputs!G129</f>
        <v>0.055</v>
      </c>
      <c r="H58" s="15" t="n">
        <f aca="false">Inputs!H129</f>
        <v>0.051</v>
      </c>
      <c r="I58" s="15" t="n">
        <f aca="false">Inputs!I129</f>
        <v>0.048</v>
      </c>
      <c r="J58" s="15" t="n">
        <f aca="false">Inputs!J129</f>
        <v>0.045</v>
      </c>
      <c r="K58" s="15" t="n">
        <f aca="false">Inputs!K129</f>
        <v>0.043</v>
      </c>
      <c r="L58" s="15" t="n">
        <f aca="false">Inputs!L129</f>
        <v>0.041</v>
      </c>
      <c r="M58" s="15" t="n">
        <f aca="false">Inputs!M129</f>
        <v>0.039</v>
      </c>
      <c r="N58" s="15" t="n">
        <f aca="false">Inputs!N129</f>
        <v>0.038</v>
      </c>
    </row>
    <row r="59" customFormat="false" ht="15" hidden="false" customHeight="false" outlineLevel="0" collapsed="false">
      <c r="A59" s="7" t="s">
        <v>98</v>
      </c>
      <c r="B59" s="2" t="s">
        <v>147</v>
      </c>
      <c r="C59" s="8" t="n">
        <f aca="false">Historicals!B26</f>
        <v>147</v>
      </c>
      <c r="D59" s="8" t="n">
        <f aca="false">Historicals!C26</f>
        <v>177</v>
      </c>
      <c r="E59" s="19" t="n">
        <f aca="false">E47*E60</f>
        <v>225.5036575</v>
      </c>
      <c r="F59" s="19" t="n">
        <f aca="false">F47*F60</f>
        <v>248.843227776</v>
      </c>
      <c r="G59" s="19" t="n">
        <f aca="false">G47*G60</f>
        <v>300.839769377</v>
      </c>
      <c r="H59" s="19" t="n">
        <f aca="false">H47*H60</f>
        <v>320.649640811923</v>
      </c>
      <c r="I59" s="19" t="n">
        <f aca="false">I47*I60</f>
        <v>336.108821251511</v>
      </c>
      <c r="J59" s="19" t="n">
        <f aca="false">J47*J60</f>
        <v>355.914131640313</v>
      </c>
      <c r="K59" s="19" t="n">
        <f aca="false">K47*K60</f>
        <v>372.976805471212</v>
      </c>
      <c r="L59" s="19" t="n">
        <f aca="false">L47*L60</f>
        <v>387.401414976203</v>
      </c>
      <c r="M59" s="19" t="n">
        <f aca="false">M47*M60</f>
        <v>399.140947892866</v>
      </c>
      <c r="N59" s="19" t="n">
        <f aca="false">N47*N60</f>
        <v>409.313777547002</v>
      </c>
    </row>
    <row r="60" customFormat="false" ht="15" hidden="false" customHeight="false" outlineLevel="0" collapsed="false">
      <c r="A60" s="7" t="s">
        <v>321</v>
      </c>
      <c r="B60" s="2" t="s">
        <v>155</v>
      </c>
      <c r="C60" s="14" t="n">
        <f aca="false">C59/C47</f>
        <v>0.0525563103324991</v>
      </c>
      <c r="D60" s="14" t="n">
        <f aca="false">D59/D47</f>
        <v>0.0525222551928783</v>
      </c>
      <c r="E60" s="15" t="n">
        <f aca="false">Inputs!E132</f>
        <v>0.055</v>
      </c>
      <c r="F60" s="15" t="n">
        <f aca="false">Inputs!F132</f>
        <v>0.052</v>
      </c>
      <c r="G60" s="15" t="n">
        <f aca="false">Inputs!G132</f>
        <v>0.05</v>
      </c>
      <c r="H60" s="15" t="n">
        <f aca="false">Inputs!H132</f>
        <v>0.048</v>
      </c>
      <c r="I60" s="15" t="n">
        <f aca="false">Inputs!I132</f>
        <v>0.046</v>
      </c>
      <c r="J60" s="15" t="n">
        <f aca="false">Inputs!J132</f>
        <v>0.045</v>
      </c>
      <c r="K60" s="15" t="n">
        <f aca="false">Inputs!K132</f>
        <v>0.044</v>
      </c>
      <c r="L60" s="15" t="n">
        <f aca="false">Inputs!L132</f>
        <v>0.043</v>
      </c>
      <c r="M60" s="15" t="n">
        <f aca="false">Inputs!M132</f>
        <v>0.042</v>
      </c>
      <c r="N60" s="15" t="n">
        <f aca="false">Inputs!N132</f>
        <v>0.041</v>
      </c>
    </row>
    <row r="61" customFormat="false" ht="15" hidden="false" customHeight="false" outlineLevel="0" collapsed="false">
      <c r="A61" s="9" t="s">
        <v>322</v>
      </c>
      <c r="B61" s="41" t="s">
        <v>147</v>
      </c>
      <c r="C61" s="43" t="n">
        <f aca="false">C52-C57-C59</f>
        <v>-113</v>
      </c>
      <c r="D61" s="43" t="n">
        <f aca="false">D52-D57-D59</f>
        <v>82</v>
      </c>
      <c r="E61" s="43" t="n">
        <f aca="false">E52-E57-E59</f>
        <v>202.818208</v>
      </c>
      <c r="F61" s="43" t="n">
        <f aca="false">F52-F57-F59</f>
        <v>270.204099944</v>
      </c>
      <c r="G61" s="43" t="n">
        <f aca="false">G52-G57-G59</f>
        <v>544.1156421183</v>
      </c>
      <c r="H61" s="43" t="n">
        <f aca="false">H52-H57-H59</f>
        <v>708.859240797709</v>
      </c>
      <c r="I61" s="43" t="n">
        <f aca="false">I52-I57-I59</f>
        <v>890.240251752404</v>
      </c>
      <c r="J61" s="43" t="n">
        <f aca="false">J52-J57-J59</f>
        <v>1076.20596976136</v>
      </c>
      <c r="K61" s="43" t="n">
        <f aca="false">K52-K57-K59</f>
        <v>1208.2588133635</v>
      </c>
      <c r="L61" s="43" t="n">
        <f aca="false">L52-L57-L59</f>
        <v>1343.41502741322</v>
      </c>
      <c r="M61" s="43" t="n">
        <f aca="false">M52-M57-M59</f>
        <v>1461.81072315055</v>
      </c>
      <c r="N61" s="43" t="n">
        <f aca="false">N52-N57-N59</f>
        <v>1546.34508745292</v>
      </c>
    </row>
    <row r="62" customFormat="false" ht="15" hidden="false" customHeight="false" outlineLevel="0" collapsed="false">
      <c r="A62" s="7" t="s">
        <v>323</v>
      </c>
      <c r="B62" s="2" t="s">
        <v>147</v>
      </c>
      <c r="C62" s="8" t="n">
        <f aca="false">Historicals!B28</f>
        <v>58</v>
      </c>
      <c r="D62" s="8" t="n">
        <f aca="false">Historicals!C28</f>
        <v>89</v>
      </c>
      <c r="E62" s="19" t="n">
        <f aca="false">MAX(Inputs!$B$22*E61,Inputs!$B$29*E52)</f>
        <v>83.37914256</v>
      </c>
      <c r="F62" s="19" t="n">
        <f aca="false">MAX(Inputs!$B$22*F61,Inputs!$B$29*F52)</f>
        <v>96.74089548</v>
      </c>
      <c r="G62" s="19" t="n">
        <f aca="false">MAX(Inputs!$B$22*G61,Inputs!$B$29*G52)</f>
        <v>141.1054989372</v>
      </c>
      <c r="H62" s="19" t="n">
        <f aca="false">MAX(Inputs!$B$22*H61,Inputs!$B$29*H52)</f>
        <v>164.423894996676</v>
      </c>
      <c r="I62" s="19" t="n">
        <f aca="false">MAX(Inputs!$B$22*I61,Inputs!$B$29*I52)</f>
        <v>189.248558551963</v>
      </c>
      <c r="J62" s="19" t="n">
        <f aca="false">MAX(Inputs!$B$22*J61,Inputs!$B$29*J52)</f>
        <v>226.003253649886</v>
      </c>
      <c r="K62" s="19" t="n">
        <f aca="false">MAX(Inputs!$B$22*K61,Inputs!$B$29*K52)</f>
        <v>253.734350806334</v>
      </c>
      <c r="L62" s="19" t="n">
        <f aca="false">MAX(Inputs!$B$22*L61,Inputs!$B$29*L52)</f>
        <v>282.117155756777</v>
      </c>
      <c r="M62" s="19" t="n">
        <f aca="false">MAX(Inputs!$B$22*M61,Inputs!$B$29*M52)</f>
        <v>306.980251861616</v>
      </c>
      <c r="N62" s="19" t="n">
        <f aca="false">MAX(Inputs!$B$22*N61,Inputs!$B$29*N52)</f>
        <v>324.732468365114</v>
      </c>
      <c r="O62" s="2" t="s">
        <v>324</v>
      </c>
    </row>
    <row r="63" customFormat="false" ht="15" hidden="false" customHeight="false" outlineLevel="0" collapsed="false">
      <c r="A63" s="7" t="s">
        <v>325</v>
      </c>
      <c r="B63" s="2" t="s">
        <v>147</v>
      </c>
      <c r="C63" s="8" t="n">
        <f aca="false">Historicals!B27</f>
        <v>149</v>
      </c>
      <c r="D63" s="8" t="n">
        <f aca="false">Historicals!C27</f>
        <v>188</v>
      </c>
      <c r="E63" s="19" t="n">
        <f aca="false">E47*E64</f>
        <v>196.803192</v>
      </c>
      <c r="F63" s="19" t="n">
        <f aca="false">F47*F64</f>
        <v>224.915994336</v>
      </c>
      <c r="G63" s="19" t="n">
        <f aca="false">G47*G64</f>
        <v>276.77258782684</v>
      </c>
      <c r="H63" s="19" t="n">
        <f aca="false">H47*H64</f>
        <v>300.609038261178</v>
      </c>
      <c r="I63" s="19" t="n">
        <f aca="false">I47*I64</f>
        <v>321.495394240576</v>
      </c>
      <c r="J63" s="19" t="n">
        <f aca="false">J47*J64</f>
        <v>340.095725789632</v>
      </c>
      <c r="K63" s="19" t="n">
        <f aca="false">K47*K64</f>
        <v>356.023314313429</v>
      </c>
      <c r="L63" s="19" t="n">
        <f aca="false">L47*L64</f>
        <v>369.382744512194</v>
      </c>
      <c r="M63" s="19" t="n">
        <f aca="false">M47*M64</f>
        <v>389.637591990655</v>
      </c>
      <c r="N63" s="19" t="n">
        <f aca="false">N47*N64</f>
        <v>409.313777547002</v>
      </c>
    </row>
    <row r="64" customFormat="false" ht="15" hidden="false" customHeight="false" outlineLevel="0" collapsed="false">
      <c r="A64" s="7" t="s">
        <v>321</v>
      </c>
      <c r="B64" s="2" t="s">
        <v>155</v>
      </c>
      <c r="C64" s="14" t="n">
        <f aca="false">C63/C47</f>
        <v>0.0532713621737576</v>
      </c>
      <c r="D64" s="14" t="n">
        <f aca="false">D63/D47</f>
        <v>0.055786350148368</v>
      </c>
      <c r="E64" s="15" t="n">
        <f aca="false">Inputs!E135</f>
        <v>0.048</v>
      </c>
      <c r="F64" s="15" t="n">
        <f aca="false">Inputs!F135</f>
        <v>0.047</v>
      </c>
      <c r="G64" s="15" t="n">
        <f aca="false">Inputs!G135</f>
        <v>0.046</v>
      </c>
      <c r="H64" s="15" t="n">
        <f aca="false">Inputs!H135</f>
        <v>0.045</v>
      </c>
      <c r="I64" s="15" t="n">
        <f aca="false">Inputs!I135</f>
        <v>0.044</v>
      </c>
      <c r="J64" s="15" t="n">
        <f aca="false">Inputs!J135</f>
        <v>0.043</v>
      </c>
      <c r="K64" s="15" t="n">
        <f aca="false">Inputs!K135</f>
        <v>0.042</v>
      </c>
      <c r="L64" s="15" t="n">
        <f aca="false">Inputs!L135</f>
        <v>0.041</v>
      </c>
      <c r="M64" s="15" t="n">
        <f aca="false">Inputs!M135</f>
        <v>0.041</v>
      </c>
      <c r="N64" s="15" t="n">
        <f aca="false">Inputs!N135</f>
        <v>0.041</v>
      </c>
    </row>
    <row r="65" customFormat="false" ht="15" hidden="false" customHeight="false" outlineLevel="0" collapsed="false">
      <c r="A65" s="7" t="s">
        <v>326</v>
      </c>
      <c r="B65" s="2" t="s">
        <v>147</v>
      </c>
      <c r="E65" s="19" t="n">
        <f aca="false">Inputs!$B$31*(E47-D47)</f>
        <v>0</v>
      </c>
      <c r="F65" s="19" t="n">
        <f aca="false">Inputs!$B$31*(F47-E47)</f>
        <v>0</v>
      </c>
      <c r="G65" s="19" t="n">
        <f aca="false">Inputs!$B$31*(G47-F47)</f>
        <v>0</v>
      </c>
      <c r="H65" s="19" t="n">
        <f aca="false">Inputs!$B$31*(H47-G47)</f>
        <v>0</v>
      </c>
      <c r="I65" s="19" t="n">
        <f aca="false">Inputs!$B$31*(I47-H47)</f>
        <v>0</v>
      </c>
      <c r="J65" s="19" t="n">
        <f aca="false">Inputs!$B$31*(J47-I47)</f>
        <v>0</v>
      </c>
      <c r="K65" s="19" t="n">
        <f aca="false">Inputs!$B$31*(K47-J47)</f>
        <v>0</v>
      </c>
      <c r="L65" s="19" t="n">
        <f aca="false">Inputs!$B$31*(L47-K47)</f>
        <v>0</v>
      </c>
      <c r="M65" s="19" t="n">
        <f aca="false">Inputs!$B$31*(M47-L47)</f>
        <v>0</v>
      </c>
      <c r="N65" s="19" t="n">
        <f aca="false">Inputs!$B$31*(N47-M47)</f>
        <v>0</v>
      </c>
    </row>
    <row r="66" customFormat="false" ht="15" hidden="false" customHeight="false" outlineLevel="0" collapsed="false">
      <c r="A66" s="7" t="s">
        <v>327</v>
      </c>
      <c r="B66" s="2" t="s">
        <v>147</v>
      </c>
      <c r="C66" s="8" t="n">
        <f aca="false">Historicals!B31</f>
        <v>586</v>
      </c>
      <c r="D66" s="8" t="n">
        <f aca="false">Historicals!C31</f>
        <v>1278</v>
      </c>
      <c r="E66" s="19" t="n">
        <f aca="false">D66*(1+E67)</f>
        <v>3003.3</v>
      </c>
      <c r="F66" s="19" t="n">
        <f aca="false">E66*(1+F67)</f>
        <v>3754.125</v>
      </c>
      <c r="G66" s="19" t="n">
        <f aca="false">F66*(1+G67)</f>
        <v>4429.8675</v>
      </c>
      <c r="H66" s="19" t="n">
        <f aca="false">G66*(1+H67)</f>
        <v>5094.347625</v>
      </c>
      <c r="I66" s="19" t="n">
        <f aca="false">H66*(1+I67)</f>
        <v>5705.66934</v>
      </c>
      <c r="J66" s="19" t="n">
        <f aca="false">I66*(1+J67)</f>
        <v>6276.236274</v>
      </c>
      <c r="K66" s="19" t="n">
        <f aca="false">J66*(1+K67)</f>
        <v>6841.09753866</v>
      </c>
      <c r="L66" s="19" t="n">
        <f aca="false">K66*(1+L67)</f>
        <v>7388.3853417528</v>
      </c>
      <c r="M66" s="19" t="n">
        <f aca="false">L66*(1+M67)</f>
        <v>7905.5723156755</v>
      </c>
      <c r="N66" s="19" t="n">
        <f aca="false">M66*(1+N67)</f>
        <v>8379.90665461603</v>
      </c>
    </row>
    <row r="67" customFormat="false" ht="15" hidden="false" customHeight="false" outlineLevel="0" collapsed="false">
      <c r="A67" s="7" t="s">
        <v>48</v>
      </c>
      <c r="B67" s="2" t="s">
        <v>155</v>
      </c>
      <c r="D67" s="14" t="n">
        <f aca="false">D66/C66-1</f>
        <v>1.18088737201365</v>
      </c>
      <c r="E67" s="15" t="n">
        <f aca="false">Inputs!E108</f>
        <v>1.35</v>
      </c>
      <c r="F67" s="15" t="n">
        <f aca="false">Inputs!F108</f>
        <v>0.25</v>
      </c>
      <c r="G67" s="15" t="n">
        <f aca="false">Inputs!G108</f>
        <v>0.18</v>
      </c>
      <c r="H67" s="15" t="n">
        <f aca="false">Inputs!H108</f>
        <v>0.15</v>
      </c>
      <c r="I67" s="15" t="n">
        <f aca="false">Inputs!I108</f>
        <v>0.12</v>
      </c>
      <c r="J67" s="15" t="n">
        <f aca="false">Inputs!J108</f>
        <v>0.1</v>
      </c>
      <c r="K67" s="15" t="n">
        <f aca="false">Inputs!K108</f>
        <v>0.09</v>
      </c>
      <c r="L67" s="15" t="n">
        <f aca="false">Inputs!L108</f>
        <v>0.08</v>
      </c>
      <c r="M67" s="15" t="n">
        <f aca="false">Inputs!M108</f>
        <v>0.07</v>
      </c>
      <c r="N67" s="15" t="n">
        <f aca="false">Inputs!N108</f>
        <v>0.06</v>
      </c>
    </row>
    <row r="68" customFormat="false" ht="15" hidden="false" customHeight="false" outlineLevel="0" collapsed="false">
      <c r="A68" s="7" t="s">
        <v>328</v>
      </c>
      <c r="B68" s="2" t="s">
        <v>147</v>
      </c>
      <c r="E68" s="8" t="n">
        <f aca="false">Inputs!$B$35</f>
        <v>756</v>
      </c>
      <c r="F68" s="8" t="n">
        <f aca="false">0</f>
        <v>0</v>
      </c>
      <c r="G68" s="8" t="n">
        <f aca="false">0</f>
        <v>0</v>
      </c>
      <c r="H68" s="8" t="n">
        <f aca="false">0</f>
        <v>0</v>
      </c>
      <c r="I68" s="8" t="n">
        <f aca="false">0</f>
        <v>0</v>
      </c>
      <c r="J68" s="8" t="n">
        <f aca="false">0</f>
        <v>0</v>
      </c>
      <c r="K68" s="8" t="n">
        <f aca="false">0</f>
        <v>0</v>
      </c>
      <c r="L68" s="8" t="n">
        <f aca="false">0</f>
        <v>0</v>
      </c>
      <c r="M68" s="8" t="n">
        <f aca="false">0</f>
        <v>0</v>
      </c>
      <c r="N68" s="8" t="n">
        <f aca="false">0</f>
        <v>0</v>
      </c>
      <c r="O68" s="2" t="s">
        <v>329</v>
      </c>
    </row>
    <row r="69" customFormat="false" ht="15" hidden="false" customHeight="false" outlineLevel="0" collapsed="false">
      <c r="A69" s="7" t="s">
        <v>330</v>
      </c>
      <c r="B69" s="2" t="s">
        <v>147</v>
      </c>
      <c r="E69" s="19" t="n">
        <f aca="false">IF(E36&gt;0,Inputs!E120,0)</f>
        <v>0</v>
      </c>
      <c r="F69" s="19" t="n">
        <f aca="false">IF(F36&gt;0,Inputs!F120,0)</f>
        <v>0</v>
      </c>
      <c r="G69" s="19" t="n">
        <f aca="false">IF(G36&gt;0,Inputs!G120,0)</f>
        <v>1300</v>
      </c>
      <c r="H69" s="19" t="n">
        <f aca="false">IF(H36&gt;0,Inputs!H120,0)</f>
        <v>1450</v>
      </c>
      <c r="I69" s="19" t="n">
        <f aca="false">IF(I36&gt;0,Inputs!I120,0)</f>
        <v>1600</v>
      </c>
      <c r="J69" s="19" t="n">
        <f aca="false">IF(J36&gt;0,Inputs!J120,0)</f>
        <v>1730</v>
      </c>
      <c r="K69" s="19" t="n">
        <f aca="false">IF(K36&gt;0,Inputs!K120,0)</f>
        <v>1850</v>
      </c>
      <c r="L69" s="19" t="n">
        <f aca="false">IF(L36&gt;0,Inputs!L120,0)</f>
        <v>1960</v>
      </c>
      <c r="M69" s="19" t="n">
        <f aca="false">IF(M36&gt;0,Inputs!M120,0)</f>
        <v>2060</v>
      </c>
      <c r="N69" s="19" t="n">
        <f aca="false">IF(N36&gt;0,Inputs!N120,0)</f>
        <v>2150</v>
      </c>
    </row>
    <row r="70" customFormat="false" ht="15" hidden="false" customHeight="false" outlineLevel="0" collapsed="false">
      <c r="A70" s="7" t="s">
        <v>54</v>
      </c>
      <c r="B70" s="2" t="s">
        <v>147</v>
      </c>
      <c r="C70" s="19" t="n">
        <f aca="false">C66</f>
        <v>586</v>
      </c>
      <c r="D70" s="19" t="n">
        <f aca="false">D66</f>
        <v>1278</v>
      </c>
      <c r="E70" s="19" t="n">
        <f aca="false">E66+E69</f>
        <v>3003.3</v>
      </c>
      <c r="F70" s="19" t="n">
        <f aca="false">F66+F69</f>
        <v>3754.125</v>
      </c>
      <c r="G70" s="19" t="n">
        <f aca="false">G66+G69</f>
        <v>5729.8675</v>
      </c>
      <c r="H70" s="19" t="n">
        <f aca="false">H66+H69</f>
        <v>6544.347625</v>
      </c>
      <c r="I70" s="19" t="n">
        <f aca="false">I66+I69</f>
        <v>7305.66934</v>
      </c>
      <c r="J70" s="19" t="n">
        <f aca="false">J66+J69</f>
        <v>8006.236274</v>
      </c>
      <c r="K70" s="19" t="n">
        <f aca="false">K66+K69</f>
        <v>8691.09753866</v>
      </c>
      <c r="L70" s="19" t="n">
        <f aca="false">L66+L69</f>
        <v>9348.3853417528</v>
      </c>
      <c r="M70" s="19" t="n">
        <f aca="false">M66+M69</f>
        <v>9965.5723156755</v>
      </c>
      <c r="N70" s="19" t="n">
        <f aca="false">N66+N69</f>
        <v>10529.906654616</v>
      </c>
    </row>
    <row r="71" customFormat="false" ht="15" hidden="false" customHeight="false" outlineLevel="0" collapsed="false">
      <c r="A71" s="7" t="s">
        <v>331</v>
      </c>
      <c r="B71" s="2" t="s">
        <v>147</v>
      </c>
      <c r="E71" s="19" t="n">
        <f aca="false">Inputs!$B$30*((E66-D66-E68)+IF(D69&gt;0,E69-D69,0))</f>
        <v>145.395</v>
      </c>
      <c r="F71" s="19" t="n">
        <f aca="false">Inputs!$B$30*((F66-E66-F68)+IF(E69&gt;0,F69-E69,0))</f>
        <v>112.62375</v>
      </c>
      <c r="G71" s="19" t="n">
        <f aca="false">Inputs!$B$30*((G66-F66-G68)+IF(F69&gt;0,G69-F69,0))</f>
        <v>101.361375</v>
      </c>
      <c r="H71" s="19" t="n">
        <f aca="false">Inputs!$B$30*((H66-G66-H68)+IF(G69&gt;0,H69-G69,0))</f>
        <v>122.17201875</v>
      </c>
      <c r="I71" s="19" t="n">
        <f aca="false">Inputs!$B$30*((I66-H66-I68)+IF(H69&gt;0,I69-H69,0))</f>
        <v>114.19825725</v>
      </c>
      <c r="J71" s="19" t="n">
        <f aca="false">Inputs!$B$30*((J66-I66-J68)+IF(I69&gt;0,J69-I69,0))</f>
        <v>105.0850401</v>
      </c>
      <c r="K71" s="19" t="n">
        <f aca="false">Inputs!$B$30*((K66-J66-K68)+IF(J69&gt;0,K69-J69,0))</f>
        <v>102.729189699</v>
      </c>
      <c r="L71" s="19" t="n">
        <f aca="false">Inputs!$B$30*((L66-K66-L68)+IF(K69&gt;0,L69-K69,0))</f>
        <v>98.5931704639201</v>
      </c>
      <c r="M71" s="19" t="n">
        <f aca="false">Inputs!$B$30*((M66-L66-M68)+IF(L69&gt;0,M69-L69,0))</f>
        <v>92.5780460884045</v>
      </c>
      <c r="N71" s="19" t="n">
        <f aca="false">Inputs!$B$30*((N66-M66-N68)+IF(M69&gt;0,N69-M69,0))</f>
        <v>84.6501508410795</v>
      </c>
      <c r="O71" s="2" t="s">
        <v>332</v>
      </c>
    </row>
    <row r="72" customFormat="false" ht="15" hidden="false" customHeight="false" outlineLevel="0" collapsed="false">
      <c r="A72" s="7" t="s">
        <v>333</v>
      </c>
      <c r="B72" s="2" t="s">
        <v>155</v>
      </c>
      <c r="E72" s="15" t="n">
        <f aca="false">Inputs!E123</f>
        <v>0</v>
      </c>
      <c r="F72" s="15" t="n">
        <f aca="false">Inputs!F123</f>
        <v>0</v>
      </c>
      <c r="G72" s="15" t="n">
        <f aca="false">Inputs!G123</f>
        <v>0.4</v>
      </c>
      <c r="H72" s="15" t="n">
        <f aca="false">Inputs!H123</f>
        <v>0.4</v>
      </c>
      <c r="I72" s="15" t="n">
        <f aca="false">Inputs!I123</f>
        <v>0</v>
      </c>
      <c r="J72" s="15" t="n">
        <f aca="false">Inputs!J123</f>
        <v>0</v>
      </c>
      <c r="K72" s="15" t="n">
        <f aca="false">Inputs!K123</f>
        <v>0</v>
      </c>
      <c r="L72" s="15" t="n">
        <f aca="false">Inputs!L123</f>
        <v>0</v>
      </c>
      <c r="M72" s="15" t="n">
        <f aca="false">Inputs!M123</f>
        <v>0</v>
      </c>
      <c r="N72" s="15" t="n">
        <f aca="false">Inputs!N123</f>
        <v>0</v>
      </c>
    </row>
    <row r="73" customFormat="false" ht="15" hidden="false" customHeight="false" outlineLevel="0" collapsed="false">
      <c r="A73" s="7" t="s">
        <v>334</v>
      </c>
      <c r="B73" s="2" t="s">
        <v>147</v>
      </c>
      <c r="E73" s="19" t="n">
        <f aca="false">E72*E39*(1-Inputs!$B$22)</f>
        <v>0</v>
      </c>
      <c r="F73" s="19" t="n">
        <f aca="false">F72*F39*(1-Inputs!$B$22)</f>
        <v>0</v>
      </c>
      <c r="G73" s="19" t="n">
        <f aca="false">G72*G39*(1-Inputs!$B$22)</f>
        <v>34.8232</v>
      </c>
      <c r="H73" s="19" t="n">
        <f aca="false">H72*H39*(1-Inputs!$B$22)</f>
        <v>40.448</v>
      </c>
      <c r="I73" s="19" t="n">
        <f aca="false">I72*I39*(1-Inputs!$B$22)</f>
        <v>0</v>
      </c>
      <c r="J73" s="19" t="n">
        <f aca="false">J72*J39*(1-Inputs!$B$22)</f>
        <v>0</v>
      </c>
      <c r="K73" s="19" t="n">
        <f aca="false">K72*K39*(1-Inputs!$B$22)</f>
        <v>0</v>
      </c>
      <c r="L73" s="19" t="n">
        <f aca="false">L72*L39*(1-Inputs!$B$22)</f>
        <v>0</v>
      </c>
      <c r="M73" s="19" t="n">
        <f aca="false">M72*M39*(1-Inputs!$B$22)</f>
        <v>0</v>
      </c>
      <c r="N73" s="19" t="n">
        <f aca="false">N72*N39*(1-Inputs!$B$22)</f>
        <v>0</v>
      </c>
    </row>
    <row r="74" customFormat="false" ht="15" hidden="false" customHeight="false" outlineLevel="0" collapsed="false">
      <c r="A74" s="9" t="s">
        <v>335</v>
      </c>
      <c r="B74" s="41" t="s">
        <v>147</v>
      </c>
      <c r="C74" s="45"/>
      <c r="D74" s="45"/>
      <c r="E74" s="43" t="n">
        <f aca="false">E52-E57-E62-E63-E65-E71-E73</f>
        <v>2.74453094</v>
      </c>
      <c r="F74" s="43" t="n">
        <f aca="false">F52-F57-F62-F63-F65-F71-F73</f>
        <v>84.7666879040002</v>
      </c>
      <c r="G74" s="43" t="n">
        <f aca="false">G52-G57-G62-G63-G65-G71-G73</f>
        <v>290.89274973126</v>
      </c>
      <c r="H74" s="43" t="n">
        <f aca="false">H52-H57-H62-H63-H65-H71-H73</f>
        <v>401.855929601778</v>
      </c>
      <c r="I74" s="43" t="n">
        <f aca="false">I52-I57-I62-I63-I65-I71-I73</f>
        <v>601.406862961375</v>
      </c>
      <c r="J74" s="43" t="n">
        <f aca="false">J52-J57-J62-J63-J65-J71-J73</f>
        <v>760.936081862158</v>
      </c>
      <c r="K74" s="43" t="n">
        <f aca="false">K52-K57-K62-K63-K65-K71-K73</f>
        <v>868.748764015944</v>
      </c>
      <c r="L74" s="43" t="n">
        <f aca="false">L52-L57-L62-L63-L65-L71-L73</f>
        <v>980.723371656535</v>
      </c>
      <c r="M74" s="43" t="n">
        <f aca="false">M52-M57-M62-M63-M65-M71-M73</f>
        <v>1071.75578110274</v>
      </c>
      <c r="N74" s="43" t="n">
        <f aca="false">N52-N57-N62-N63-N65-N71-N73</f>
        <v>1136.96246824673</v>
      </c>
    </row>
    <row r="75" customFormat="false" ht="15" hidden="false" customHeight="false" outlineLevel="0" collapsed="false">
      <c r="A75" s="7" t="s">
        <v>336</v>
      </c>
      <c r="B75" s="2" t="s">
        <v>155</v>
      </c>
      <c r="E75" s="14" t="n">
        <f aca="false">IF(E52=0,0,E74/E52)</f>
        <v>0.00394995322197039</v>
      </c>
      <c r="F75" s="14" t="n">
        <f aca="false">IF(F52=0,0,F74/F52)</f>
        <v>0.105146871940864</v>
      </c>
      <c r="G75" s="14" t="n">
        <f aca="false">IF(G52=0,0,G74/G52)</f>
        <v>0.247383200730447</v>
      </c>
      <c r="H75" s="14" t="n">
        <f aca="false">IF(H52=0,0,H74/H52)</f>
        <v>0.293282868364043</v>
      </c>
      <c r="I75" s="14" t="n">
        <f aca="false">IF(I52=0,0,I74/I52)</f>
        <v>0.381344112248808</v>
      </c>
      <c r="J75" s="14" t="n">
        <f aca="false">IF(J52=0,0,J74/J52)</f>
        <v>0.425571316141736</v>
      </c>
      <c r="K75" s="14" t="n">
        <f aca="false">IF(K52=0,0,K74/K52)</f>
        <v>0.4464885819354</v>
      </c>
      <c r="L75" s="14" t="n">
        <f aca="false">IF(L52=0,0,L74/L52)</f>
        <v>0.466966837132899</v>
      </c>
      <c r="M75" s="14" t="n">
        <f aca="false">IF(M52=0,0,M74/M52)</f>
        <v>0.480267145175599</v>
      </c>
      <c r="N75" s="14" t="n">
        <f aca="false">IF(N52=0,0,N74/N52)</f>
        <v>0.486917062214355</v>
      </c>
    </row>
    <row r="76" customFormat="false" ht="15" hidden="false" customHeight="false" outlineLevel="0" collapsed="false">
      <c r="A76" s="3" t="s">
        <v>337</v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customFormat="false" ht="15" hidden="false" customHeight="false" outlineLevel="0" collapsed="false">
      <c r="A77" s="7" t="s">
        <v>338</v>
      </c>
      <c r="B77" s="2" t="s">
        <v>160</v>
      </c>
      <c r="E77" s="44" t="n">
        <f aca="false">Inputs!$B$32</f>
        <v>0.5</v>
      </c>
      <c r="F77" s="44" t="n">
        <f aca="false">1</f>
        <v>1</v>
      </c>
      <c r="G77" s="44" t="n">
        <f aca="false">1</f>
        <v>1</v>
      </c>
      <c r="H77" s="44" t="n">
        <f aca="false">1</f>
        <v>1</v>
      </c>
      <c r="I77" s="44" t="n">
        <f aca="false">1</f>
        <v>1</v>
      </c>
      <c r="J77" s="44" t="n">
        <f aca="false">1</f>
        <v>1</v>
      </c>
      <c r="K77" s="44" t="n">
        <f aca="false">1</f>
        <v>1</v>
      </c>
      <c r="L77" s="44" t="n">
        <f aca="false">1</f>
        <v>1</v>
      </c>
      <c r="M77" s="44" t="n">
        <f aca="false">1</f>
        <v>1</v>
      </c>
      <c r="N77" s="44" t="n">
        <f aca="false">1</f>
        <v>1</v>
      </c>
    </row>
    <row r="78" customFormat="false" ht="15" hidden="false" customHeight="false" outlineLevel="0" collapsed="false">
      <c r="A78" s="7" t="s">
        <v>339</v>
      </c>
      <c r="B78" s="2" t="s">
        <v>340</v>
      </c>
      <c r="E78" s="46" t="n">
        <f aca="false">Inputs!$B$33</f>
        <v>0</v>
      </c>
      <c r="F78" s="46" t="n">
        <f aca="false">Inputs!$B$7+0.5</f>
        <v>0.71</v>
      </c>
      <c r="G78" s="46" t="n">
        <f aca="false">F78+1</f>
        <v>1.71</v>
      </c>
      <c r="H78" s="46" t="n">
        <f aca="false">G78+1</f>
        <v>2.71</v>
      </c>
      <c r="I78" s="46" t="n">
        <f aca="false">H78+1</f>
        <v>3.71</v>
      </c>
      <c r="J78" s="46" t="n">
        <f aca="false">I78+1</f>
        <v>4.71</v>
      </c>
      <c r="K78" s="46" t="n">
        <f aca="false">J78+1</f>
        <v>5.71</v>
      </c>
      <c r="L78" s="46" t="n">
        <f aca="false">K78+1</f>
        <v>6.71</v>
      </c>
      <c r="M78" s="46" t="n">
        <f aca="false">L78+1</f>
        <v>7.71</v>
      </c>
      <c r="N78" s="46" t="n">
        <f aca="false">M78+1</f>
        <v>8.71</v>
      </c>
    </row>
    <row r="79" customFormat="false" ht="15" hidden="false" customHeight="false" outlineLevel="0" collapsed="false">
      <c r="A79" s="7" t="s">
        <v>341</v>
      </c>
      <c r="B79" s="2" t="s">
        <v>160</v>
      </c>
      <c r="E79" s="47" t="n">
        <f aca="false">1/(1+Inputs!$B$24)^E78</f>
        <v>1</v>
      </c>
      <c r="F79" s="47" t="n">
        <f aca="false">1/(1+Inputs!$B$24)^F78</f>
        <v>0.92286714597987</v>
      </c>
      <c r="G79" s="47" t="n">
        <f aca="false">1/(1+Inputs!$B$24)^G78</f>
        <v>0.824212974050853</v>
      </c>
      <c r="H79" s="47" t="n">
        <f aca="false">1/(1+Inputs!$B$24)^H78</f>
        <v>0.736104898254304</v>
      </c>
      <c r="I79" s="47" t="n">
        <f aca="false">1/(1+Inputs!$B$24)^I78</f>
        <v>0.657415544638767</v>
      </c>
      <c r="J79" s="47" t="n">
        <f aca="false">1/(1+Inputs!$B$24)^J78</f>
        <v>0.587138055129984</v>
      </c>
      <c r="K79" s="47" t="n">
        <f aca="false">1/(1+Inputs!$B$24)^K78</f>
        <v>0.524373204426191</v>
      </c>
      <c r="L79" s="47" t="n">
        <f aca="false">1/(1+Inputs!$B$24)^L78</f>
        <v>0.468317894092758</v>
      </c>
      <c r="M79" s="47" t="n">
        <f aca="false">1/(1+Inputs!$B$24)^M78</f>
        <v>0.418254876634046</v>
      </c>
      <c r="N79" s="47" t="n">
        <f aca="false">1/(1+Inputs!$B$24)^N78</f>
        <v>0.373543578058352</v>
      </c>
    </row>
    <row r="80" customFormat="false" ht="15" hidden="false" customHeight="false" outlineLevel="0" collapsed="false">
      <c r="A80" s="7" t="s">
        <v>342</v>
      </c>
      <c r="B80" s="2" t="s">
        <v>147</v>
      </c>
      <c r="E80" s="19" t="n">
        <f aca="false">E74*E77*E79</f>
        <v>1.37226547</v>
      </c>
      <c r="F80" s="19" t="n">
        <f aca="false">F74*F77*F79</f>
        <v>78.2283913401311</v>
      </c>
      <c r="G80" s="19" t="n">
        <f aca="false">G74*G77*G79</f>
        <v>239.757578385832</v>
      </c>
      <c r="H80" s="19" t="n">
        <f aca="false">H74*H77*H79</f>
        <v>295.808118172406</v>
      </c>
      <c r="I80" s="19" t="n">
        <f aca="false">I74*I77*I79</f>
        <v>395.374220363245</v>
      </c>
      <c r="J80" s="19" t="n">
        <f aca="false">J74*J77*J79</f>
        <v>446.774531182778</v>
      </c>
      <c r="K80" s="19" t="n">
        <f aca="false">K74*K77*K79</f>
        <v>455.548573228333</v>
      </c>
      <c r="L80" s="19" t="n">
        <f aca="false">L74*L77*L79</f>
        <v>459.290304101738</v>
      </c>
      <c r="M80" s="19" t="n">
        <f aca="false">M74*M77*M79</f>
        <v>448.267082006954</v>
      </c>
      <c r="N80" s="19" t="n">
        <f aca="false">N74*N77*N79</f>
        <v>424.705028506939</v>
      </c>
    </row>
    <row r="82" customFormat="false" ht="15" hidden="false" customHeight="false" outlineLevel="0" collapsed="false">
      <c r="A82" s="7" t="s">
        <v>343</v>
      </c>
      <c r="D82" s="19" t="n">
        <f aca="false">SUM(E80:N80)</f>
        <v>3245.12609275836</v>
      </c>
    </row>
    <row r="83" customFormat="false" ht="15" hidden="false" customHeight="false" outlineLevel="0" collapsed="false">
      <c r="A83" s="7" t="s">
        <v>344</v>
      </c>
      <c r="D83" s="19" t="n">
        <f aca="false">N74*(1+Inputs!$B$25)</f>
        <v>1182.4409669766</v>
      </c>
    </row>
    <row r="84" customFormat="false" ht="15" hidden="false" customHeight="false" outlineLevel="0" collapsed="false">
      <c r="A84" s="7" t="s">
        <v>345</v>
      </c>
      <c r="D84" s="19" t="n">
        <f aca="false">D83/(Inputs!$B$24-Inputs!$B$25)</f>
        <v>14837.0784487935</v>
      </c>
    </row>
    <row r="85" customFormat="false" ht="15" hidden="false" customHeight="false" outlineLevel="0" collapsed="false">
      <c r="A85" s="7" t="s">
        <v>346</v>
      </c>
      <c r="D85" s="19" t="n">
        <f aca="false">D84/(1+Inputs!$B$24)^N78</f>
        <v>5542.29537169479</v>
      </c>
      <c r="E85" s="2" t="s">
        <v>347</v>
      </c>
    </row>
    <row r="86" customFormat="false" ht="15" hidden="false" customHeight="false" outlineLevel="0" collapsed="false">
      <c r="A86" s="9" t="s">
        <v>348</v>
      </c>
      <c r="D86" s="43" t="n">
        <f aca="false">D82+D85</f>
        <v>8787.42146445315</v>
      </c>
    </row>
    <row r="87" customFormat="false" ht="15" hidden="false" customHeight="false" outlineLevel="0" collapsed="false">
      <c r="A87" s="7" t="s">
        <v>349</v>
      </c>
      <c r="D87" s="14" t="n">
        <f aca="false">D85/D86</f>
        <v>0.630707812765607</v>
      </c>
    </row>
    <row r="88" customFormat="false" ht="15" hidden="false" customHeight="false" outlineLevel="0" collapsed="false">
      <c r="A88" s="7" t="s">
        <v>350</v>
      </c>
      <c r="D88" s="48" t="n">
        <f aca="false">D84/N52</f>
        <v>6.35414699420201</v>
      </c>
    </row>
    <row r="89" customFormat="false" ht="15" hidden="false" customHeight="false" outlineLevel="0" collapsed="false">
      <c r="A89" s="7" t="s">
        <v>351</v>
      </c>
      <c r="D89" s="48" t="n">
        <f aca="false">D84/(N52-N57)</f>
        <v>7.58674159094413</v>
      </c>
    </row>
    <row r="91" customFormat="false" ht="15" hidden="false" customHeight="false" outlineLevel="0" collapsed="false">
      <c r="A91" s="49" t="s">
        <v>352</v>
      </c>
    </row>
    <row r="92" customFormat="false" ht="15" hidden="false" customHeight="false" outlineLevel="0" collapsed="false">
      <c r="A92" s="7" t="s">
        <v>353</v>
      </c>
      <c r="D92" s="19" t="n">
        <f aca="false">H35</f>
        <v>640</v>
      </c>
    </row>
    <row r="93" customFormat="false" ht="15" hidden="false" customHeight="false" outlineLevel="0" collapsed="false">
      <c r="A93" s="7" t="s">
        <v>354</v>
      </c>
      <c r="D93" s="19" t="n">
        <f aca="false">H35*H38</f>
        <v>128</v>
      </c>
    </row>
    <row r="94" customFormat="false" ht="15" hidden="false" customHeight="false" outlineLevel="0" collapsed="false">
      <c r="A94" s="7" t="s">
        <v>355</v>
      </c>
      <c r="D94" s="19" t="n">
        <f aca="false">Inputs!$B$55*Inputs!$B$53*D93+(1-Inputs!$B$55)*Inputs!$B$54*D92</f>
        <v>1648</v>
      </c>
    </row>
    <row r="95" customFormat="false" ht="15" hidden="false" customHeight="false" outlineLevel="0" collapsed="false">
      <c r="A95" s="7" t="s">
        <v>356</v>
      </c>
      <c r="D95" s="19" t="n">
        <f aca="false">MIN(MAX(D94,Inputs!$B$56),Inputs!$B$57)</f>
        <v>2000</v>
      </c>
    </row>
    <row r="96" customFormat="false" ht="15" hidden="false" customHeight="false" outlineLevel="0" collapsed="false">
      <c r="A96" s="7" t="s">
        <v>357</v>
      </c>
      <c r="D96" s="19" t="n">
        <f aca="false">D95*Inputs!$B$52</f>
        <v>800</v>
      </c>
    </row>
    <row r="97" customFormat="false" ht="15" hidden="false" customHeight="false" outlineLevel="0" collapsed="false">
      <c r="A97" s="7" t="s">
        <v>358</v>
      </c>
      <c r="D97" s="19" t="n">
        <f aca="false">D96/(1+Inputs!$B$24)^Inputs!B62</f>
        <v>554.007744334776</v>
      </c>
    </row>
    <row r="99" customFormat="false" ht="15" hidden="false" customHeight="false" outlineLevel="0" collapsed="false">
      <c r="A99" s="49" t="s">
        <v>359</v>
      </c>
    </row>
    <row r="100" customFormat="false" ht="15" hidden="false" customHeight="false" outlineLevel="0" collapsed="false">
      <c r="A100" s="7" t="s">
        <v>360</v>
      </c>
      <c r="D100" s="19" t="n">
        <f aca="false">Inputs!$B$39</f>
        <v>5400</v>
      </c>
    </row>
    <row r="101" customFormat="false" ht="15" hidden="false" customHeight="false" outlineLevel="0" collapsed="false">
      <c r="A101" s="7" t="s">
        <v>361</v>
      </c>
      <c r="D101" s="19" t="n">
        <f aca="false">-MAX(Inputs!$B$40-Inputs!$B$41,0)</f>
        <v>-348</v>
      </c>
    </row>
    <row r="102" customFormat="false" ht="15" hidden="false" customHeight="false" outlineLevel="0" collapsed="false">
      <c r="A102" s="7" t="s">
        <v>362</v>
      </c>
      <c r="D102" s="19" t="n">
        <f aca="false">-Inputs!$B$42</f>
        <v>-437</v>
      </c>
    </row>
    <row r="103" customFormat="false" ht="15" hidden="false" customHeight="false" outlineLevel="0" collapsed="false">
      <c r="A103" s="7" t="s">
        <v>363</v>
      </c>
      <c r="D103" s="19" t="n">
        <f aca="false">Inputs!$B$43</f>
        <v>70</v>
      </c>
    </row>
    <row r="104" customFormat="false" ht="15" hidden="false" customHeight="false" outlineLevel="0" collapsed="false">
      <c r="A104" s="7" t="s">
        <v>364</v>
      </c>
      <c r="D104" s="19" t="n">
        <f aca="false">-Inputs!$B$44</f>
        <v>-600</v>
      </c>
    </row>
    <row r="105" customFormat="false" ht="15" hidden="false" customHeight="false" outlineLevel="0" collapsed="false">
      <c r="A105" s="7" t="s">
        <v>365</v>
      </c>
      <c r="D105" s="19" t="n">
        <f aca="false">-(Inputs!$B$45+Inputs!$B$46)</f>
        <v>-425</v>
      </c>
    </row>
    <row r="106" customFormat="false" ht="15" hidden="false" customHeight="false" outlineLevel="0" collapsed="false">
      <c r="A106" s="7" t="s">
        <v>366</v>
      </c>
      <c r="D106" s="19" t="n">
        <f aca="false">-(Inputs!$B$47-Inputs!$B$48)</f>
        <v>-1230</v>
      </c>
    </row>
    <row r="107" customFormat="false" ht="15" hidden="false" customHeight="false" outlineLevel="0" collapsed="false">
      <c r="A107" s="7" t="s">
        <v>367</v>
      </c>
      <c r="D107" s="19" t="n">
        <f aca="false">-D97</f>
        <v>-554.007744334776</v>
      </c>
    </row>
    <row r="108" customFormat="false" ht="15" hidden="false" customHeight="false" outlineLevel="0" collapsed="false">
      <c r="A108" s="9" t="s">
        <v>368</v>
      </c>
      <c r="D108" s="43" t="n">
        <f aca="false">SUM(D100:D107)</f>
        <v>1875.99225566522</v>
      </c>
    </row>
    <row r="109" customFormat="false" ht="15" hidden="false" customHeight="false" outlineLevel="0" collapsed="false">
      <c r="A109" s="9" t="s">
        <v>369</v>
      </c>
      <c r="D109" s="43" t="n">
        <f aca="false">D86+D108</f>
        <v>10663.4137201184</v>
      </c>
    </row>
    <row r="110" customFormat="false" ht="15" hidden="false" customHeight="false" outlineLevel="0" collapsed="false">
      <c r="A110" s="7" t="s">
        <v>370</v>
      </c>
      <c r="D110" s="19" t="n">
        <f aca="false">Inputs!$B$8+Inputs!$B$9</f>
        <v>4162</v>
      </c>
    </row>
    <row r="111" customFormat="false" ht="15" hidden="false" customHeight="false" outlineLevel="0" collapsed="false">
      <c r="A111" s="7" t="s">
        <v>371</v>
      </c>
      <c r="D111" s="13" t="n">
        <f aca="false">D109/D110</f>
        <v>2.56208883232061</v>
      </c>
    </row>
    <row r="112" customFormat="false" ht="15" hidden="false" customHeight="false" outlineLevel="0" collapsed="false">
      <c r="A112" s="7" t="s">
        <v>372</v>
      </c>
      <c r="D112" s="13" t="n">
        <f aca="false">(D109+Inputs!$B$10)/(D110+Inputs!$B$12)</f>
        <v>2.7700734626553</v>
      </c>
    </row>
    <row r="113" customFormat="false" ht="15" hidden="false" customHeight="false" outlineLevel="0" collapsed="false">
      <c r="A113" s="9" t="s">
        <v>12</v>
      </c>
      <c r="D113" s="11" t="n">
        <f aca="false">IF(D111&gt;Inputs!$B$11,D112,D111)</f>
        <v>2.56208883232061</v>
      </c>
      <c r="E113" s="2" t="s">
        <v>373</v>
      </c>
    </row>
    <row r="114" customFormat="false" ht="15" hidden="false" customHeight="false" outlineLevel="0" collapsed="false">
      <c r="A114" s="9" t="s">
        <v>374</v>
      </c>
      <c r="D114" s="50" t="n">
        <f aca="false">D113/Inputs!$B$6-1</f>
        <v>-0.122572317698422</v>
      </c>
    </row>
    <row r="115" customFormat="false" ht="15" hidden="false" customHeight="false" outlineLevel="0" collapsed="false">
      <c r="A115" s="7" t="s">
        <v>375</v>
      </c>
      <c r="D115" s="13" t="n">
        <f aca="false">D113*(1+Inputs!$B$20)</f>
        <v>2.8785068031122</v>
      </c>
    </row>
    <row r="117" customFormat="false" ht="15" hidden="false" customHeight="false" outlineLevel="0" collapsed="false">
      <c r="A117" s="49" t="s">
        <v>376</v>
      </c>
    </row>
    <row r="118" customFormat="false" ht="15" hidden="false" customHeight="false" outlineLevel="0" collapsed="false">
      <c r="A118" s="7" t="s">
        <v>377</v>
      </c>
      <c r="D118" s="19" t="n">
        <f aca="false">F11+F20+F29</f>
        <v>1250.358089</v>
      </c>
    </row>
    <row r="119" customFormat="false" ht="15" hidden="false" customHeight="false" outlineLevel="0" collapsed="false">
      <c r="A119" s="7" t="s">
        <v>378</v>
      </c>
      <c r="D119" s="19" t="n">
        <f aca="false">-F50*Inputs!B65</f>
        <v>-397.4124</v>
      </c>
    </row>
    <row r="120" customFormat="false" ht="15" hidden="false" customHeight="false" outlineLevel="0" collapsed="false">
      <c r="A120" s="7" t="s">
        <v>379</v>
      </c>
      <c r="D120" s="19" t="n">
        <f aca="false">D118+D119</f>
        <v>852.945689</v>
      </c>
    </row>
    <row r="121" customFormat="false" ht="15" hidden="false" customHeight="false" outlineLevel="0" collapsed="false">
      <c r="A121" s="7" t="s">
        <v>380</v>
      </c>
      <c r="D121" s="48" t="n">
        <f aca="false">Inputs!B63</f>
        <v>10</v>
      </c>
    </row>
    <row r="122" customFormat="false" ht="15" hidden="false" customHeight="false" outlineLevel="0" collapsed="false">
      <c r="A122" s="7" t="s">
        <v>381</v>
      </c>
      <c r="D122" s="19" t="n">
        <f aca="false">D120*D121</f>
        <v>8529.45689</v>
      </c>
    </row>
    <row r="123" customFormat="false" ht="15" hidden="false" customHeight="false" outlineLevel="0" collapsed="false">
      <c r="A123" s="7" t="s">
        <v>382</v>
      </c>
      <c r="D123" s="19" t="n">
        <f aca="false">G41-G50*(1-Inputs!B65)</f>
        <v>131.791372</v>
      </c>
    </row>
    <row r="124" customFormat="false" ht="15" hidden="false" customHeight="false" outlineLevel="0" collapsed="false">
      <c r="A124" s="7" t="s">
        <v>380</v>
      </c>
      <c r="D124" s="48" t="n">
        <f aca="false">Inputs!B64</f>
        <v>7</v>
      </c>
    </row>
    <row r="125" customFormat="false" ht="15" hidden="false" customHeight="false" outlineLevel="0" collapsed="false">
      <c r="A125" s="7" t="s">
        <v>383</v>
      </c>
      <c r="D125" s="19" t="n">
        <f aca="false">D123*D124/(1+Inputs!$B$20)</f>
        <v>821.130043613707</v>
      </c>
    </row>
    <row r="126" customFormat="false" ht="15" hidden="false" customHeight="false" outlineLevel="0" collapsed="false">
      <c r="A126" s="9" t="s">
        <v>384</v>
      </c>
      <c r="D126" s="43" t="n">
        <f aca="false">D122+D125</f>
        <v>9350.58693361371</v>
      </c>
    </row>
    <row r="127" customFormat="false" ht="15" hidden="false" customHeight="false" outlineLevel="0" collapsed="false">
      <c r="A127" s="7" t="s">
        <v>385</v>
      </c>
      <c r="D127" s="19" t="n">
        <f aca="false">D126+D108</f>
        <v>11226.5791892789</v>
      </c>
    </row>
    <row r="128" customFormat="false" ht="15" hidden="false" customHeight="false" outlineLevel="0" collapsed="false">
      <c r="A128" s="9" t="s">
        <v>13</v>
      </c>
      <c r="D128" s="11" t="n">
        <f aca="false">IF(D127/D110&gt;Inputs!$B$11,(D127+Inputs!$B$10)/(D110+Inputs!$B$12),D127/D110)</f>
        <v>2.6974000935317</v>
      </c>
    </row>
    <row r="129" customFormat="false" ht="15" hidden="false" customHeight="false" outlineLevel="0" collapsed="false">
      <c r="A129" s="7" t="s">
        <v>374</v>
      </c>
      <c r="D129" s="14" t="n">
        <f aca="false">D128/Inputs!$B$6-1</f>
        <v>-0.0762328446809248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2"/>
    <col collapsed="false" customWidth="true" hidden="false" outlineLevel="0" max="7" min="3" style="0" width="11"/>
    <col collapsed="false" customWidth="true" hidden="false" outlineLevel="0" max="8" min="8" style="0" width="44"/>
  </cols>
  <sheetData>
    <row r="1" customFormat="false" ht="17.35" hidden="false" customHeight="false" outlineLevel="0" collapsed="false">
      <c r="A1" s="1" t="s">
        <v>388</v>
      </c>
    </row>
    <row r="2" customFormat="false" ht="15" hidden="false" customHeight="false" outlineLevel="0" collapsed="false">
      <c r="A2" s="2" t="s">
        <v>389</v>
      </c>
    </row>
    <row r="3" customFormat="false" ht="15" hidden="false" customHeight="false" outlineLevel="0" collapsed="false">
      <c r="A3" s="2" t="s">
        <v>390</v>
      </c>
    </row>
    <row r="4" customFormat="false" ht="15" hidden="false" customHeight="false" outlineLevel="0" collapsed="false">
      <c r="A4" s="49" t="s">
        <v>391</v>
      </c>
    </row>
    <row r="5" customFormat="false" ht="15" hidden="false" customHeight="false" outlineLevel="0" collapsed="false">
      <c r="B5" s="51" t="s">
        <v>392</v>
      </c>
      <c r="C5" s="52" t="n">
        <f aca="false">Inputs!$B$25+(-0.01)</f>
        <v>0.03</v>
      </c>
      <c r="D5" s="52" t="n">
        <f aca="false">Inputs!$B$25+(-0.005)</f>
        <v>0.035</v>
      </c>
      <c r="E5" s="52" t="n">
        <f aca="false">Inputs!$B$25+(0)</f>
        <v>0.04</v>
      </c>
      <c r="F5" s="52" t="n">
        <f aca="false">Inputs!$B$25+(0.005)</f>
        <v>0.045</v>
      </c>
      <c r="G5" s="52" t="n">
        <f aca="false">Inputs!$B$25+(0.01)</f>
        <v>0.05</v>
      </c>
    </row>
    <row r="6" customFormat="false" ht="15" hidden="false" customHeight="false" outlineLevel="0" collapsed="false">
      <c r="B6" s="52" t="n">
        <f aca="false">Inputs!$B$24+(-0.015)</f>
        <v>0.104695</v>
      </c>
      <c r="C6" s="13" t="n">
        <f aca="false">IF((SUMPRODUCT(Base!$E$74:$N$74*Base!$E$77:$N$77/(1+$B6)^Base!$E$78:$N$78)+Base!$N$74*(1+C$5)/($B6-C$5)/(1+$B6)^Base!$N$78+(Base!$D$108-Base!$D$107-Base!$D$96/(1+$B6)^Inputs!$C$62))/Base!$D$110&gt;Inputs!$B$11,((SUMPRODUCT(Base!$E$74:$N$74*Base!$E$77:$N$77/(1+$B6)^Base!$E$78:$N$78)+Base!$N$74*(1+C$5)/($B6-C$5)/(1+$B6)^Base!$N$78+(Base!$D$108-Base!$D$107-Base!$D$96/(1+$B6)^Inputs!$C$62))+Inputs!$B$10)/(Base!$D$110+Inputs!$B$12),(SUMPRODUCT(Base!$E$74:$N$74*Base!$E$77:$N$77/(1+$B6)^Base!$E$78:$N$78)+Base!$N$74*(1+C$5)/($B6-C$5)/(1+$B6)^Base!$N$78+(Base!$D$108-Base!$D$107-Base!$D$96/(1+$B6)^Inputs!$C$62))/Base!$D$110)</f>
        <v>5.20954287953266</v>
      </c>
      <c r="D6" s="13" t="n">
        <f aca="false">IF((SUMPRODUCT(Base!$E$74:$N$74*Base!$E$77:$N$77/(1+$B6)^Base!$E$78:$N$78)+Base!$N$74*(1+D$5)/($B6-D$5)/(1+$B6)^Base!$N$78+(Base!$D$108-Base!$D$107-Base!$D$96/(1+$B6)^Inputs!$C$62))/Base!$D$110&gt;Inputs!$B$11,((SUMPRODUCT(Base!$E$74:$N$74*Base!$E$77:$N$77/(1+$B6)^Base!$E$78:$N$78)+Base!$N$74*(1+D$5)/($B6-D$5)/(1+$B6)^Base!$N$78+(Base!$D$108-Base!$D$107-Base!$D$96/(1+$B6)^Inputs!$C$62))+Inputs!$B$10)/(Base!$D$110+Inputs!$B$12),(SUMPRODUCT(Base!$E$74:$N$74*Base!$E$77:$N$77/(1+$B6)^Base!$E$78:$N$78)+Base!$N$74*(1+D$5)/($B6-D$5)/(1+$B6)^Base!$N$78+(Base!$D$108-Base!$D$107-Base!$D$96/(1+$B6)^Inputs!$C$62))/Base!$D$110)</f>
        <v>5.45803235115957</v>
      </c>
      <c r="E6" s="13" t="n">
        <f aca="false">IF((SUMPRODUCT(Base!$E$74:$N$74*Base!$E$77:$N$77/(1+$B6)^Base!$E$78:$N$78)+Base!$N$74*(1+E$5)/($B6-E$5)/(1+$B6)^Base!$N$78+(Base!$D$108-Base!$D$107-Base!$D$96/(1+$B6)^Inputs!$C$62))/Base!$D$110&gt;Inputs!$B$11,((SUMPRODUCT(Base!$E$74:$N$74*Base!$E$77:$N$77/(1+$B6)^Base!$E$78:$N$78)+Base!$N$74*(1+E$5)/($B6-E$5)/(1+$B6)^Base!$N$78+(Base!$D$108-Base!$D$107-Base!$D$96/(1+$B6)^Inputs!$C$62))+Inputs!$B$10)/(Base!$D$110+Inputs!$B$12),(SUMPRODUCT(Base!$E$74:$N$74*Base!$E$77:$N$77/(1+$B6)^Base!$E$78:$N$78)+Base!$N$74*(1+E$5)/($B6-E$5)/(1+$B6)^Base!$N$78+(Base!$D$108-Base!$D$107-Base!$D$96/(1+$B6)^Inputs!$C$62))/Base!$D$110)</f>
        <v>5.74493120088785</v>
      </c>
      <c r="F6" s="13" t="n">
        <f aca="false">IF((SUMPRODUCT(Base!$E$74:$N$74*Base!$E$77:$N$77/(1+$B6)^Base!$E$78:$N$78)+Base!$N$74*(1+F$5)/($B6-F$5)/(1+$B6)^Base!$N$78+(Base!$D$108-Base!$D$107-Base!$D$96/(1+$B6)^Inputs!$C$62))/Base!$D$110&gt;Inputs!$B$11,((SUMPRODUCT(Base!$E$74:$N$74*Base!$E$77:$N$77/(1+$B6)^Base!$E$78:$N$78)+Base!$N$74*(1+F$5)/($B6-F$5)/(1+$B6)^Base!$N$78+(Base!$D$108-Base!$D$107-Base!$D$96/(1+$B6)^Inputs!$C$62))+Inputs!$B$10)/(Base!$D$110+Inputs!$B$12),(SUMPRODUCT(Base!$E$74:$N$74*Base!$E$77:$N$77/(1+$B6)^Base!$E$78:$N$78)+Base!$N$74*(1+F$5)/($B6-F$5)/(1+$B6)^Base!$N$78+(Base!$D$108-Base!$D$107-Base!$D$96/(1+$B6)^Inputs!$C$62))/Base!$D$110)</f>
        <v>6.07989083455588</v>
      </c>
      <c r="G6" s="13" t="n">
        <f aca="false">IF((SUMPRODUCT(Base!$E$74:$N$74*Base!$E$77:$N$77/(1+$B6)^Base!$E$78:$N$78)+Base!$N$74*(1+G$5)/($B6-G$5)/(1+$B6)^Base!$N$78+(Base!$D$108-Base!$D$107-Base!$D$96/(1+$B6)^Inputs!$C$62))/Base!$D$110&gt;Inputs!$B$11,((SUMPRODUCT(Base!$E$74:$N$74*Base!$E$77:$N$77/(1+$B6)^Base!$E$78:$N$78)+Base!$N$74*(1+G$5)/($B6-G$5)/(1+$B6)^Base!$N$78+(Base!$D$108-Base!$D$107-Base!$D$96/(1+$B6)^Inputs!$C$62))+Inputs!$B$10)/(Base!$D$110+Inputs!$B$12),(SUMPRODUCT(Base!$E$74:$N$74*Base!$E$77:$N$77/(1+$B6)^Base!$E$78:$N$78)+Base!$N$74*(1+G$5)/($B6-G$5)/(1+$B6)^Base!$N$78+(Base!$D$108-Base!$D$107-Base!$D$96/(1+$B6)^Inputs!$C$62))/Base!$D$110)</f>
        <v>6.47609183099345</v>
      </c>
      <c r="H6" s="2" t="s">
        <v>71</v>
      </c>
    </row>
    <row r="7" customFormat="false" ht="15" hidden="false" customHeight="false" outlineLevel="0" collapsed="false">
      <c r="B7" s="52" t="n">
        <f aca="false">Inputs!$B$24+(-0.01)</f>
        <v>0.109695</v>
      </c>
      <c r="C7" s="13" t="n">
        <f aca="false">IF((SUMPRODUCT(Base!$E$74:$N$74*Base!$E$77:$N$77/(1+$B7)^Base!$E$78:$N$78)+Base!$N$74*(1+C$5)/($B7-C$5)/(1+$B7)^Base!$N$78+(Base!$D$108-Base!$D$107-Base!$D$96/(1+$B7)^Inputs!$C$62))/Base!$D$110&gt;Inputs!$B$11,((SUMPRODUCT(Base!$E$74:$N$74*Base!$E$77:$N$77/(1+$B7)^Base!$E$78:$N$78)+Base!$N$74*(1+C$5)/($B7-C$5)/(1+$B7)^Base!$N$78+(Base!$D$108-Base!$D$107-Base!$D$96/(1+$B7)^Inputs!$C$62))+Inputs!$B$10)/(Base!$D$110+Inputs!$B$12),(SUMPRODUCT(Base!$E$74:$N$74*Base!$E$77:$N$77/(1+$B7)^Base!$E$78:$N$78)+Base!$N$74*(1+C$5)/($B7-C$5)/(1+$B7)^Base!$N$78+(Base!$D$108-Base!$D$107-Base!$D$96/(1+$B7)^Inputs!$C$62))/Base!$D$110)</f>
        <v>4.85317638943205</v>
      </c>
      <c r="D7" s="13" t="n">
        <f aca="false">IF((SUMPRODUCT(Base!$E$74:$N$74*Base!$E$77:$N$77/(1+$B7)^Base!$E$78:$N$78)+Base!$N$74*(1+D$5)/($B7-D$5)/(1+$B7)^Base!$N$78+(Base!$D$108-Base!$D$107-Base!$D$96/(1+$B7)^Inputs!$C$62))/Base!$D$110&gt;Inputs!$B$11,((SUMPRODUCT(Base!$E$74:$N$74*Base!$E$77:$N$77/(1+$B7)^Base!$E$78:$N$78)+Base!$N$74*(1+D$5)/($B7-D$5)/(1+$B7)^Base!$N$78+(Base!$D$108-Base!$D$107-Base!$D$96/(1+$B7)^Inputs!$C$62))+Inputs!$B$10)/(Base!$D$110+Inputs!$B$12),(SUMPRODUCT(Base!$E$74:$N$74*Base!$E$77:$N$77/(1+$B7)^Base!$E$78:$N$78)+Base!$N$74*(1+D$5)/($B7-D$5)/(1+$B7)^Base!$N$78+(Base!$D$108-Base!$D$107-Base!$D$96/(1+$B7)^Inputs!$C$62))/Base!$D$110)</f>
        <v>5.06304977716708</v>
      </c>
      <c r="E7" s="13" t="n">
        <f aca="false">IF((SUMPRODUCT(Base!$E$74:$N$74*Base!$E$77:$N$77/(1+$B7)^Base!$E$78:$N$78)+Base!$N$74*(1+E$5)/($B7-E$5)/(1+$B7)^Base!$N$78+(Base!$D$108-Base!$D$107-Base!$D$96/(1+$B7)^Inputs!$C$62))/Base!$D$110&gt;Inputs!$B$11,((SUMPRODUCT(Base!$E$74:$N$74*Base!$E$77:$N$77/(1+$B7)^Base!$E$78:$N$78)+Base!$N$74*(1+E$5)/($B7-E$5)/(1+$B7)^Base!$N$78+(Base!$D$108-Base!$D$107-Base!$D$96/(1+$B7)^Inputs!$C$62))+Inputs!$B$10)/(Base!$D$110+Inputs!$B$12),(SUMPRODUCT(Base!$E$74:$N$74*Base!$E$77:$N$77/(1+$B7)^Base!$E$78:$N$78)+Base!$N$74*(1+E$5)/($B7-E$5)/(1+$B7)^Base!$N$78+(Base!$D$108-Base!$D$107-Base!$D$96/(1+$B7)^Inputs!$C$62))/Base!$D$110)</f>
        <v>5.30303628460008</v>
      </c>
      <c r="F7" s="13" t="n">
        <f aca="false">IF((SUMPRODUCT(Base!$E$74:$N$74*Base!$E$77:$N$77/(1+$B7)^Base!$E$78:$N$78)+Base!$N$74*(1+F$5)/($B7-F$5)/(1+$B7)^Base!$N$78+(Base!$D$108-Base!$D$107-Base!$D$96/(1+$B7)^Inputs!$C$62))/Base!$D$110&gt;Inputs!$B$11,((SUMPRODUCT(Base!$E$74:$N$74*Base!$E$77:$N$77/(1+$B7)^Base!$E$78:$N$78)+Base!$N$74*(1+F$5)/($B7-F$5)/(1+$B7)^Base!$N$78+(Base!$D$108-Base!$D$107-Base!$D$96/(1+$B7)^Inputs!$C$62))+Inputs!$B$10)/(Base!$D$110+Inputs!$B$12),(SUMPRODUCT(Base!$E$74:$N$74*Base!$E$77:$N$77/(1+$B7)^Base!$E$78:$N$78)+Base!$N$74*(1+F$5)/($B7-F$5)/(1+$B7)^Base!$N$78+(Base!$D$108-Base!$D$107-Base!$D$96/(1+$B7)^Inputs!$C$62))/Base!$D$110)</f>
        <v>5.58011785462416</v>
      </c>
      <c r="G7" s="13" t="n">
        <f aca="false">IF((SUMPRODUCT(Base!$E$74:$N$74*Base!$E$77:$N$77/(1+$B7)^Base!$E$78:$N$78)+Base!$N$74*(1+G$5)/($B7-G$5)/(1+$B7)^Base!$N$78+(Base!$D$108-Base!$D$107-Base!$D$96/(1+$B7)^Inputs!$C$62))/Base!$D$110&gt;Inputs!$B$11,((SUMPRODUCT(Base!$E$74:$N$74*Base!$E$77:$N$77/(1+$B7)^Base!$E$78:$N$78)+Base!$N$74*(1+G$5)/($B7-G$5)/(1+$B7)^Base!$N$78+(Base!$D$108-Base!$D$107-Base!$D$96/(1+$B7)^Inputs!$C$62))+Inputs!$B$10)/(Base!$D$110+Inputs!$B$12),(SUMPRODUCT(Base!$E$74:$N$74*Base!$E$77:$N$77/(1+$B7)^Base!$E$78:$N$78)+Base!$N$74*(1+G$5)/($B7-G$5)/(1+$B7)^Base!$N$78+(Base!$D$108-Base!$D$107-Base!$D$96/(1+$B7)^Inputs!$C$62))/Base!$D$110)</f>
        <v>5.9036156353902</v>
      </c>
      <c r="H7" s="12" t="n">
        <f aca="false">Inputs!$B$6</f>
        <v>2.92</v>
      </c>
    </row>
    <row r="8" customFormat="false" ht="15" hidden="false" customHeight="false" outlineLevel="0" collapsed="false">
      <c r="B8" s="52" t="n">
        <f aca="false">Inputs!$B$24+(-0.005)</f>
        <v>0.114695</v>
      </c>
      <c r="C8" s="13" t="n">
        <f aca="false">IF((SUMPRODUCT(Base!$E$74:$N$74*Base!$E$77:$N$77/(1+$B8)^Base!$E$78:$N$78)+Base!$N$74*(1+C$5)/($B8-C$5)/(1+$B8)^Base!$N$78+(Base!$D$108-Base!$D$107-Base!$D$96/(1+$B8)^Inputs!$C$62))/Base!$D$110&gt;Inputs!$B$11,((SUMPRODUCT(Base!$E$74:$N$74*Base!$E$77:$N$77/(1+$B8)^Base!$E$78:$N$78)+Base!$N$74*(1+C$5)/($B8-C$5)/(1+$B8)^Base!$N$78+(Base!$D$108-Base!$D$107-Base!$D$96/(1+$B8)^Inputs!$C$62))+Inputs!$B$10)/(Base!$D$110+Inputs!$B$12),(SUMPRODUCT(Base!$E$74:$N$74*Base!$E$77:$N$77/(1+$B8)^Base!$E$78:$N$78)+Base!$N$74*(1+C$5)/($B8-C$5)/(1+$B8)^Base!$N$78+(Base!$D$108-Base!$D$107-Base!$D$96/(1+$B8)^Inputs!$C$62))/Base!$D$110)</f>
        <v>4.54049028440135</v>
      </c>
      <c r="D8" s="13" t="n">
        <f aca="false">IF((SUMPRODUCT(Base!$E$74:$N$74*Base!$E$77:$N$77/(1+$B8)^Base!$E$78:$N$78)+Base!$N$74*(1+D$5)/($B8-D$5)/(1+$B8)^Base!$N$78+(Base!$D$108-Base!$D$107-Base!$D$96/(1+$B8)^Inputs!$C$62))/Base!$D$110&gt;Inputs!$B$11,((SUMPRODUCT(Base!$E$74:$N$74*Base!$E$77:$N$77/(1+$B8)^Base!$E$78:$N$78)+Base!$N$74*(1+D$5)/($B8-D$5)/(1+$B8)^Base!$N$78+(Base!$D$108-Base!$D$107-Base!$D$96/(1+$B8)^Inputs!$C$62))+Inputs!$B$10)/(Base!$D$110+Inputs!$B$12),(SUMPRODUCT(Base!$E$74:$N$74*Base!$E$77:$N$77/(1+$B8)^Base!$E$78:$N$78)+Base!$N$74*(1+D$5)/($B8-D$5)/(1+$B8)^Base!$N$78+(Base!$D$108-Base!$D$107-Base!$D$96/(1+$B8)^Inputs!$C$62))/Base!$D$110)</f>
        <v>4.71927811062272</v>
      </c>
      <c r="E8" s="13" t="n">
        <f aca="false">IF((SUMPRODUCT(Base!$E$74:$N$74*Base!$E$77:$N$77/(1+$B8)^Base!$E$78:$N$78)+Base!$N$74*(1+E$5)/($B8-E$5)/(1+$B8)^Base!$N$78+(Base!$D$108-Base!$D$107-Base!$D$96/(1+$B8)^Inputs!$C$62))/Base!$D$110&gt;Inputs!$B$11,((SUMPRODUCT(Base!$E$74:$N$74*Base!$E$77:$N$77/(1+$B8)^Base!$E$78:$N$78)+Base!$N$74*(1+E$5)/($B8-E$5)/(1+$B8)^Base!$N$78+(Base!$D$108-Base!$D$107-Base!$D$96/(1+$B8)^Inputs!$C$62))+Inputs!$B$10)/(Base!$D$110+Inputs!$B$12),(SUMPRODUCT(Base!$E$74:$N$74*Base!$E$77:$N$77/(1+$B8)^Base!$E$78:$N$78)+Base!$N$74*(1+E$5)/($B8-E$5)/(1+$B8)^Base!$N$78+(Base!$D$108-Base!$D$107-Base!$D$96/(1+$B8)^Inputs!$C$62))/Base!$D$110)</f>
        <v>4.92200165224958</v>
      </c>
      <c r="F8" s="13" t="n">
        <f aca="false">IF((SUMPRODUCT(Base!$E$74:$N$74*Base!$E$77:$N$77/(1+$B8)^Base!$E$78:$N$78)+Base!$N$74*(1+F$5)/($B8-F$5)/(1+$B8)^Base!$N$78+(Base!$D$108-Base!$D$107-Base!$D$96/(1+$B8)^Inputs!$C$62))/Base!$D$110&gt;Inputs!$B$11,((SUMPRODUCT(Base!$E$74:$N$74*Base!$E$77:$N$77/(1+$B8)^Base!$E$78:$N$78)+Base!$N$74*(1+F$5)/($B8-F$5)/(1+$B8)^Base!$N$78+(Base!$D$108-Base!$D$107-Base!$D$96/(1+$B8)^Inputs!$C$62))+Inputs!$B$10)/(Base!$D$110+Inputs!$B$12),(SUMPRODUCT(Base!$E$74:$N$74*Base!$E$77:$N$77/(1+$B8)^Base!$E$78:$N$78)+Base!$N$74*(1+F$5)/($B8-F$5)/(1+$B8)^Base!$N$78+(Base!$D$108-Base!$D$107-Base!$D$96/(1+$B8)^Inputs!$C$62))/Base!$D$110)</f>
        <v>5.15381243709716</v>
      </c>
      <c r="G8" s="13" t="n">
        <f aca="false">IF((SUMPRODUCT(Base!$E$74:$N$74*Base!$E$77:$N$77/(1+$B8)^Base!$E$78:$N$78)+Base!$N$74*(1+G$5)/($B8-G$5)/(1+$B8)^Base!$N$78+(Base!$D$108-Base!$D$107-Base!$D$96/(1+$B8)^Inputs!$C$62))/Base!$D$110&gt;Inputs!$B$11,((SUMPRODUCT(Base!$E$74:$N$74*Base!$E$77:$N$77/(1+$B8)^Base!$E$78:$N$78)+Base!$N$74*(1+G$5)/($B8-G$5)/(1+$B8)^Base!$N$78+(Base!$D$108-Base!$D$107-Base!$D$96/(1+$B8)^Inputs!$C$62))+Inputs!$B$10)/(Base!$D$110+Inputs!$B$12),(SUMPRODUCT(Base!$E$74:$N$74*Base!$E$77:$N$77/(1+$B8)^Base!$E$78:$N$78)+Base!$N$74*(1+G$5)/($B8-G$5)/(1+$B8)^Base!$N$78+(Base!$D$108-Base!$D$107-Base!$D$96/(1+$B8)^Inputs!$C$62))/Base!$D$110)</f>
        <v>5.42145455123566</v>
      </c>
    </row>
    <row r="9" customFormat="false" ht="15" hidden="false" customHeight="false" outlineLevel="0" collapsed="false">
      <c r="B9" s="52" t="n">
        <f aca="false">Inputs!$B$24+(0)</f>
        <v>0.119695</v>
      </c>
      <c r="C9" s="13" t="n">
        <f aca="false">IF((SUMPRODUCT(Base!$E$74:$N$74*Base!$E$77:$N$77/(1+$B9)^Base!$E$78:$N$78)+Base!$N$74*(1+C$5)/($B9-C$5)/(1+$B9)^Base!$N$78+(Base!$D$108-Base!$D$107-Base!$D$96/(1+$B9)^Inputs!$C$62))/Base!$D$110&gt;Inputs!$B$11,((SUMPRODUCT(Base!$E$74:$N$74*Base!$E$77:$N$77/(1+$B9)^Base!$E$78:$N$78)+Base!$N$74*(1+C$5)/($B9-C$5)/(1+$B9)^Base!$N$78+(Base!$D$108-Base!$D$107-Base!$D$96/(1+$B9)^Inputs!$C$62))+Inputs!$B$10)/(Base!$D$110+Inputs!$B$12),(SUMPRODUCT(Base!$E$74:$N$74*Base!$E$77:$N$77/(1+$B9)^Base!$E$78:$N$78)+Base!$N$74*(1+C$5)/($B9-C$5)/(1+$B9)^Base!$N$78+(Base!$D$108-Base!$D$107-Base!$D$96/(1+$B9)^Inputs!$C$62))/Base!$D$110)</f>
        <v>4.2641323912737</v>
      </c>
      <c r="D9" s="13" t="n">
        <f aca="false">IF((SUMPRODUCT(Base!$E$74:$N$74*Base!$E$77:$N$77/(1+$B9)^Base!$E$78:$N$78)+Base!$N$74*(1+D$5)/($B9-D$5)/(1+$B9)^Base!$N$78+(Base!$D$108-Base!$D$107-Base!$D$96/(1+$B9)^Inputs!$C$62))/Base!$D$110&gt;Inputs!$B$11,((SUMPRODUCT(Base!$E$74:$N$74*Base!$E$77:$N$77/(1+$B9)^Base!$E$78:$N$78)+Base!$N$74*(1+D$5)/($B9-D$5)/(1+$B9)^Base!$N$78+(Base!$D$108-Base!$D$107-Base!$D$96/(1+$B9)^Inputs!$C$62))+Inputs!$B$10)/(Base!$D$110+Inputs!$B$12),(SUMPRODUCT(Base!$E$74:$N$74*Base!$E$77:$N$77/(1+$B9)^Base!$E$78:$N$78)+Base!$N$74*(1+D$5)/($B9-D$5)/(1+$B9)^Base!$N$78+(Base!$D$108-Base!$D$107-Base!$D$96/(1+$B9)^Inputs!$C$62))/Base!$D$110)</f>
        <v>4.41759937853221</v>
      </c>
      <c r="E9" s="13" t="n">
        <f aca="false">IF((SUMPRODUCT(Base!$E$74:$N$74*Base!$E$77:$N$77/(1+$B9)^Base!$E$78:$N$78)+Base!$N$74*(1+E$5)/($B9-E$5)/(1+$B9)^Base!$N$78+(Base!$D$108-Base!$D$107-Base!$D$96/(1+$B9)^Inputs!$C$62))/Base!$D$110&gt;Inputs!$B$11,((SUMPRODUCT(Base!$E$74:$N$74*Base!$E$77:$N$77/(1+$B9)^Base!$E$78:$N$78)+Base!$N$74*(1+E$5)/($B9-E$5)/(1+$B9)^Base!$N$78+(Base!$D$108-Base!$D$107-Base!$D$96/(1+$B9)^Inputs!$C$62))+Inputs!$B$10)/(Base!$D$110+Inputs!$B$12),(SUMPRODUCT(Base!$E$74:$N$74*Base!$E$77:$N$77/(1+$B9)^Base!$E$78:$N$78)+Base!$N$74*(1+E$5)/($B9-E$5)/(1+$B9)^Base!$N$78+(Base!$D$108-Base!$D$107-Base!$D$96/(1+$B9)^Inputs!$C$62))/Base!$D$110)</f>
        <v>4.59032315570959</v>
      </c>
      <c r="F9" s="13" t="n">
        <f aca="false">IF((SUMPRODUCT(Base!$E$74:$N$74*Base!$E$77:$N$77/(1+$B9)^Base!$E$78:$N$78)+Base!$N$74*(1+F$5)/($B9-F$5)/(1+$B9)^Base!$N$78+(Base!$D$108-Base!$D$107-Base!$D$96/(1+$B9)^Inputs!$C$62))/Base!$D$110&gt;Inputs!$B$11,((SUMPRODUCT(Base!$E$74:$N$74*Base!$E$77:$N$77/(1+$B9)^Base!$E$78:$N$78)+Base!$N$74*(1+F$5)/($B9-F$5)/(1+$B9)^Base!$N$78+(Base!$D$108-Base!$D$107-Base!$D$96/(1+$B9)^Inputs!$C$62))+Inputs!$B$10)/(Base!$D$110+Inputs!$B$12),(SUMPRODUCT(Base!$E$74:$N$74*Base!$E$77:$N$77/(1+$B9)^Base!$E$78:$N$78)+Base!$N$74*(1+F$5)/($B9-F$5)/(1+$B9)^Base!$N$78+(Base!$D$108-Base!$D$107-Base!$D$96/(1+$B9)^Inputs!$C$62))/Base!$D$110)</f>
        <v>4.78617080693174</v>
      </c>
      <c r="G9" s="13" t="n">
        <f aca="false">IF((SUMPRODUCT(Base!$E$74:$N$74*Base!$E$77:$N$77/(1+$B9)^Base!$E$78:$N$78)+Base!$N$74*(1+G$5)/($B9-G$5)/(1+$B9)^Base!$N$78+(Base!$D$108-Base!$D$107-Base!$D$96/(1+$B9)^Inputs!$C$62))/Base!$D$110&gt;Inputs!$B$11,((SUMPRODUCT(Base!$E$74:$N$74*Base!$E$77:$N$77/(1+$B9)^Base!$E$78:$N$78)+Base!$N$74*(1+G$5)/($B9-G$5)/(1+$B9)^Base!$N$78+(Base!$D$108-Base!$D$107-Base!$D$96/(1+$B9)^Inputs!$C$62))+Inputs!$B$10)/(Base!$D$110+Inputs!$B$12),(SUMPRODUCT(Base!$E$74:$N$74*Base!$E$77:$N$77/(1+$B9)^Base!$E$78:$N$78)+Base!$N$74*(1+G$5)/($B9-G$5)/(1+$B9)^Base!$N$78+(Base!$D$108-Base!$D$107-Base!$D$96/(1+$B9)^Inputs!$C$62))/Base!$D$110)</f>
        <v>5.01011913269613</v>
      </c>
      <c r="H9" s="2" t="s">
        <v>393</v>
      </c>
    </row>
    <row r="10" customFormat="false" ht="15" hidden="false" customHeight="false" outlineLevel="0" collapsed="false">
      <c r="B10" s="52" t="n">
        <f aca="false">Inputs!$B$24+(0.005)</f>
        <v>0.124695</v>
      </c>
      <c r="C10" s="13" t="n">
        <f aca="false">IF((SUMPRODUCT(Base!$E$74:$N$74*Base!$E$77:$N$77/(1+$B10)^Base!$E$78:$N$78)+Base!$N$74*(1+C$5)/($B10-C$5)/(1+$B10)^Base!$N$78+(Base!$D$108-Base!$D$107-Base!$D$96/(1+$B10)^Inputs!$C$62))/Base!$D$110&gt;Inputs!$B$11,((SUMPRODUCT(Base!$E$74:$N$74*Base!$E$77:$N$77/(1+$B10)^Base!$E$78:$N$78)+Base!$N$74*(1+C$5)/($B10-C$5)/(1+$B10)^Base!$N$78+(Base!$D$108-Base!$D$107-Base!$D$96/(1+$B10)^Inputs!$C$62))+Inputs!$B$10)/(Base!$D$110+Inputs!$B$12),(SUMPRODUCT(Base!$E$74:$N$74*Base!$E$77:$N$77/(1+$B10)^Base!$E$78:$N$78)+Base!$N$74*(1+C$5)/($B10-C$5)/(1+$B10)^Base!$N$78+(Base!$D$108-Base!$D$107-Base!$D$96/(1+$B10)^Inputs!$C$62))/Base!$D$110)</f>
        <v>4.01830500571308</v>
      </c>
      <c r="D10" s="13" t="n">
        <f aca="false">IF((SUMPRODUCT(Base!$E$74:$N$74*Base!$E$77:$N$77/(1+$B10)^Base!$E$78:$N$78)+Base!$N$74*(1+D$5)/($B10-D$5)/(1+$B10)^Base!$N$78+(Base!$D$108-Base!$D$107-Base!$D$96/(1+$B10)^Inputs!$C$62))/Base!$D$110&gt;Inputs!$B$11,((SUMPRODUCT(Base!$E$74:$N$74*Base!$E$77:$N$77/(1+$B10)^Base!$E$78:$N$78)+Base!$N$74*(1+D$5)/($B10-D$5)/(1+$B10)^Base!$N$78+(Base!$D$108-Base!$D$107-Base!$D$96/(1+$B10)^Inputs!$C$62))+Inputs!$B$10)/(Base!$D$110+Inputs!$B$12),(SUMPRODUCT(Base!$E$74:$N$74*Base!$E$77:$N$77/(1+$B10)^Base!$E$78:$N$78)+Base!$N$74*(1+D$5)/($B10-D$5)/(1+$B10)^Base!$N$78+(Base!$D$108-Base!$D$107-Base!$D$96/(1+$B10)^Inputs!$C$62))/Base!$D$110)</f>
        <v>4.15093038668108</v>
      </c>
      <c r="E10" s="13" t="n">
        <f aca="false">IF((SUMPRODUCT(Base!$E$74:$N$74*Base!$E$77:$N$77/(1+$B10)^Base!$E$78:$N$78)+Base!$N$74*(1+E$5)/($B10-E$5)/(1+$B10)^Base!$N$78+(Base!$D$108-Base!$D$107-Base!$D$96/(1+$B10)^Inputs!$C$62))/Base!$D$110&gt;Inputs!$B$11,((SUMPRODUCT(Base!$E$74:$N$74*Base!$E$77:$N$77/(1+$B10)^Base!$E$78:$N$78)+Base!$N$74*(1+E$5)/($B10-E$5)/(1+$B10)^Base!$N$78+(Base!$D$108-Base!$D$107-Base!$D$96/(1+$B10)^Inputs!$C$62))+Inputs!$B$10)/(Base!$D$110+Inputs!$B$12),(SUMPRODUCT(Base!$E$74:$N$74*Base!$E$77:$N$77/(1+$B10)^Base!$E$78:$N$78)+Base!$N$74*(1+E$5)/($B10-E$5)/(1+$B10)^Base!$N$78+(Base!$D$108-Base!$D$107-Base!$D$96/(1+$B10)^Inputs!$C$62))/Base!$D$110)</f>
        <v>4.29921494244902</v>
      </c>
      <c r="F10" s="13" t="n">
        <f aca="false">IF((SUMPRODUCT(Base!$E$74:$N$74*Base!$E$77:$N$77/(1+$B10)^Base!$E$78:$N$78)+Base!$N$74*(1+F$5)/($B10-F$5)/(1+$B10)^Base!$N$78+(Base!$D$108-Base!$D$107-Base!$D$96/(1+$B10)^Inputs!$C$62))/Base!$D$110&gt;Inputs!$B$11,((SUMPRODUCT(Base!$E$74:$N$74*Base!$E$77:$N$77/(1+$B10)^Base!$E$78:$N$78)+Base!$N$74*(1+F$5)/($B10-F$5)/(1+$B10)^Base!$N$78+(Base!$D$108-Base!$D$107-Base!$D$96/(1+$B10)^Inputs!$C$62))+Inputs!$B$10)/(Base!$D$110+Inputs!$B$12),(SUMPRODUCT(Base!$E$74:$N$74*Base!$E$77:$N$77/(1+$B10)^Base!$E$78:$N$78)+Base!$N$74*(1+F$5)/($B10-F$5)/(1+$B10)^Base!$N$78+(Base!$D$108-Base!$D$107-Base!$D$96/(1+$B10)^Inputs!$C$62))/Base!$D$110)</f>
        <v>4.46610600499504</v>
      </c>
      <c r="G10" s="13" t="n">
        <f aca="false">IF((SUMPRODUCT(Base!$E$74:$N$74*Base!$E$77:$N$77/(1+$B10)^Base!$E$78:$N$78)+Base!$N$74*(1+G$5)/($B10-G$5)/(1+$B10)^Base!$N$78+(Base!$D$108-Base!$D$107-Base!$D$96/(1+$B10)^Inputs!$C$62))/Base!$D$110&gt;Inputs!$B$11,((SUMPRODUCT(Base!$E$74:$N$74*Base!$E$77:$N$77/(1+$B10)^Base!$E$78:$N$78)+Base!$N$74*(1+G$5)/($B10-G$5)/(1+$B10)^Base!$N$78+(Base!$D$108-Base!$D$107-Base!$D$96/(1+$B10)^Inputs!$C$62))+Inputs!$B$10)/(Base!$D$110+Inputs!$B$12),(SUMPRODUCT(Base!$E$74:$N$74*Base!$E$77:$N$77/(1+$B10)^Base!$E$78:$N$78)+Base!$N$74*(1+G$5)/($B10-G$5)/(1+$B10)^Base!$N$78+(Base!$D$108-Base!$D$107-Base!$D$96/(1+$B10)^Inputs!$C$62))/Base!$D$110)</f>
        <v>4.65534007076028</v>
      </c>
      <c r="H10" s="53" t="n">
        <f aca="false">E9-Base!D113</f>
        <v>0</v>
      </c>
    </row>
    <row r="11" customFormat="false" ht="15" hidden="false" customHeight="false" outlineLevel="0" collapsed="false">
      <c r="B11" s="52" t="n">
        <f aca="false">Inputs!$B$24+(0.01)</f>
        <v>0.129695</v>
      </c>
      <c r="C11" s="13" t="n">
        <f aca="false">IF((SUMPRODUCT(Base!$E$74:$N$74*Base!$E$77:$N$77/(1+$B11)^Base!$E$78:$N$78)+Base!$N$74*(1+C$5)/($B11-C$5)/(1+$B11)^Base!$N$78+(Base!$D$108-Base!$D$107-Base!$D$96/(1+$B11)^Inputs!$C$62))/Base!$D$110&gt;Inputs!$B$11,((SUMPRODUCT(Base!$E$74:$N$74*Base!$E$77:$N$77/(1+$B11)^Base!$E$78:$N$78)+Base!$N$74*(1+C$5)/($B11-C$5)/(1+$B11)^Base!$N$78+(Base!$D$108-Base!$D$107-Base!$D$96/(1+$B11)^Inputs!$C$62))+Inputs!$B$10)/(Base!$D$110+Inputs!$B$12),(SUMPRODUCT(Base!$E$74:$N$74*Base!$E$77:$N$77/(1+$B11)^Base!$E$78:$N$78)+Base!$N$74*(1+C$5)/($B11-C$5)/(1+$B11)^Base!$N$78+(Base!$D$108-Base!$D$107-Base!$D$96/(1+$B11)^Inputs!$C$62))/Base!$D$110)</f>
        <v>3.79837501922915</v>
      </c>
      <c r="D11" s="13" t="n">
        <f aca="false">IF((SUMPRODUCT(Base!$E$74:$N$74*Base!$E$77:$N$77/(1+$B11)^Base!$E$78:$N$78)+Base!$N$74*(1+D$5)/($B11-D$5)/(1+$B11)^Base!$N$78+(Base!$D$108-Base!$D$107-Base!$D$96/(1+$B11)^Inputs!$C$62))/Base!$D$110&gt;Inputs!$B$11,((SUMPRODUCT(Base!$E$74:$N$74*Base!$E$77:$N$77/(1+$B11)^Base!$E$78:$N$78)+Base!$N$74*(1+D$5)/($B11-D$5)/(1+$B11)^Base!$N$78+(Base!$D$108-Base!$D$107-Base!$D$96/(1+$B11)^Inputs!$C$62))+Inputs!$B$10)/(Base!$D$110+Inputs!$B$12),(SUMPRODUCT(Base!$E$74:$N$74*Base!$E$77:$N$77/(1+$B11)^Base!$E$78:$N$78)+Base!$N$74*(1+D$5)/($B11-D$5)/(1+$B11)^Base!$N$78+(Base!$D$108-Base!$D$107-Base!$D$96/(1+$B11)^Inputs!$C$62))/Base!$D$110)</f>
        <v>3.91368545990977</v>
      </c>
      <c r="E11" s="13" t="n">
        <f aca="false">IF((SUMPRODUCT(Base!$E$74:$N$74*Base!$E$77:$N$77/(1+$B11)^Base!$E$78:$N$78)+Base!$N$74*(1+E$5)/($B11-E$5)/(1+$B11)^Base!$N$78+(Base!$D$108-Base!$D$107-Base!$D$96/(1+$B11)^Inputs!$C$62))/Base!$D$110&gt;Inputs!$B$11,((SUMPRODUCT(Base!$E$74:$N$74*Base!$E$77:$N$77/(1+$B11)^Base!$E$78:$N$78)+Base!$N$74*(1+E$5)/($B11-E$5)/(1+$B11)^Base!$N$78+(Base!$D$108-Base!$D$107-Base!$D$96/(1+$B11)^Inputs!$C$62))+Inputs!$B$10)/(Base!$D$110+Inputs!$B$12),(SUMPRODUCT(Base!$E$74:$N$74*Base!$E$77:$N$77/(1+$B11)^Base!$E$78:$N$78)+Base!$N$74*(1+E$5)/($B11-E$5)/(1+$B11)^Base!$N$78+(Base!$D$108-Base!$D$107-Base!$D$96/(1+$B11)^Inputs!$C$62))/Base!$D$110)</f>
        <v>4.04185173878433</v>
      </c>
      <c r="F11" s="13" t="n">
        <f aca="false">IF((SUMPRODUCT(Base!$E$74:$N$74*Base!$E$77:$N$77/(1+$B11)^Base!$E$78:$N$78)+Base!$N$74*(1+F$5)/($B11-F$5)/(1+$B11)^Base!$N$78+(Base!$D$108-Base!$D$107-Base!$D$96/(1+$B11)^Inputs!$C$62))/Base!$D$110&gt;Inputs!$B$11,((SUMPRODUCT(Base!$E$74:$N$74*Base!$E$77:$N$77/(1+$B11)^Base!$E$78:$N$78)+Base!$N$74*(1+F$5)/($B11-F$5)/(1+$B11)^Base!$N$78+(Base!$D$108-Base!$D$107-Base!$D$96/(1+$B11)^Inputs!$C$62))+Inputs!$B$10)/(Base!$D$110+Inputs!$B$12),(SUMPRODUCT(Base!$E$74:$N$74*Base!$E$77:$N$77/(1+$B11)^Base!$E$78:$N$78)+Base!$N$74*(1+F$5)/($B11-F$5)/(1+$B11)^Base!$N$78+(Base!$D$108-Base!$D$107-Base!$D$96/(1+$B11)^Inputs!$C$62))/Base!$D$110)</f>
        <v>4.18515070304464</v>
      </c>
      <c r="G11" s="13" t="n">
        <f aca="false">IF((SUMPRODUCT(Base!$E$74:$N$74*Base!$E$77:$N$77/(1+$B11)^Base!$E$78:$N$78)+Base!$N$74*(1+G$5)/($B11-G$5)/(1+$B11)^Base!$N$78+(Base!$D$108-Base!$D$107-Base!$D$96/(1+$B11)^Inputs!$C$62))/Base!$D$110&gt;Inputs!$B$11,((SUMPRODUCT(Base!$E$74:$N$74*Base!$E$77:$N$77/(1+$B11)^Base!$E$78:$N$78)+Base!$N$74*(1+G$5)/($B11-G$5)/(1+$B11)^Base!$N$78+(Base!$D$108-Base!$D$107-Base!$D$96/(1+$B11)^Inputs!$C$62))+Inputs!$B$10)/(Base!$D$110+Inputs!$B$12),(SUMPRODUCT(Base!$E$74:$N$74*Base!$E$77:$N$77/(1+$B11)^Base!$E$78:$N$78)+Base!$N$74*(1+G$5)/($B11-G$5)/(1+$B11)^Base!$N$78+(Base!$D$108-Base!$D$107-Base!$D$96/(1+$B11)^Inputs!$C$62))/Base!$D$110)</f>
        <v>4.34643059010567</v>
      </c>
    </row>
    <row r="12" customFormat="false" ht="15" hidden="false" customHeight="false" outlineLevel="0" collapsed="false">
      <c r="B12" s="52" t="n">
        <f aca="false">Inputs!$B$24+(0.015)</f>
        <v>0.134695</v>
      </c>
      <c r="C12" s="13" t="n">
        <f aca="false">IF((SUMPRODUCT(Base!$E$74:$N$74*Base!$E$77:$N$77/(1+$B12)^Base!$E$78:$N$78)+Base!$N$74*(1+C$5)/($B12-C$5)/(1+$B12)^Base!$N$78+(Base!$D$108-Base!$D$107-Base!$D$96/(1+$B12)^Inputs!$C$62))/Base!$D$110&gt;Inputs!$B$11,((SUMPRODUCT(Base!$E$74:$N$74*Base!$E$77:$N$77/(1+$B12)^Base!$E$78:$N$78)+Base!$N$74*(1+C$5)/($B12-C$5)/(1+$B12)^Base!$N$78+(Base!$D$108-Base!$D$107-Base!$D$96/(1+$B12)^Inputs!$C$62))+Inputs!$B$10)/(Base!$D$110+Inputs!$B$12),(SUMPRODUCT(Base!$E$74:$N$74*Base!$E$77:$N$77/(1+$B12)^Base!$E$78:$N$78)+Base!$N$74*(1+C$5)/($B12-C$5)/(1+$B12)^Base!$N$78+(Base!$D$108-Base!$D$107-Base!$D$96/(1+$B12)^Inputs!$C$62))/Base!$D$110)</f>
        <v>3.600595766025</v>
      </c>
      <c r="D12" s="13" t="n">
        <f aca="false">IF((SUMPRODUCT(Base!$E$74:$N$74*Base!$E$77:$N$77/(1+$B12)^Base!$E$78:$N$78)+Base!$N$74*(1+D$5)/($B12-D$5)/(1+$B12)^Base!$N$78+(Base!$D$108-Base!$D$107-Base!$D$96/(1+$B12)^Inputs!$C$62))/Base!$D$110&gt;Inputs!$B$11,((SUMPRODUCT(Base!$E$74:$N$74*Base!$E$77:$N$77/(1+$B12)^Base!$E$78:$N$78)+Base!$N$74*(1+D$5)/($B12-D$5)/(1+$B12)^Base!$N$78+(Base!$D$108-Base!$D$107-Base!$D$96/(1+$B12)^Inputs!$C$62))+Inputs!$B$10)/(Base!$D$110+Inputs!$B$12),(SUMPRODUCT(Base!$E$74:$N$74*Base!$E$77:$N$77/(1+$B12)^Base!$E$78:$N$78)+Base!$N$74*(1+D$5)/($B12-D$5)/(1+$B12)^Base!$N$78+(Base!$D$108-Base!$D$107-Base!$D$96/(1+$B12)^Inputs!$C$62))/Base!$D$110)</f>
        <v>3.70140085642697</v>
      </c>
      <c r="E12" s="13" t="n">
        <f aca="false">IF((SUMPRODUCT(Base!$E$74:$N$74*Base!$E$77:$N$77/(1+$B12)^Base!$E$78:$N$78)+Base!$N$74*(1+E$5)/($B12-E$5)/(1+$B12)^Base!$N$78+(Base!$D$108-Base!$D$107-Base!$D$96/(1+$B12)^Inputs!$C$62))/Base!$D$110&gt;Inputs!$B$11,((SUMPRODUCT(Base!$E$74:$N$74*Base!$E$77:$N$77/(1+$B12)^Base!$E$78:$N$78)+Base!$N$74*(1+E$5)/($B12-E$5)/(1+$B12)^Base!$N$78+(Base!$D$108-Base!$D$107-Base!$D$96/(1+$B12)^Inputs!$C$62))+Inputs!$B$10)/(Base!$D$110+Inputs!$B$12),(SUMPRODUCT(Base!$E$74:$N$74*Base!$E$77:$N$77/(1+$B12)^Base!$E$78:$N$78)+Base!$N$74*(1+E$5)/($B12-E$5)/(1+$B12)^Base!$N$78+(Base!$D$108-Base!$D$107-Base!$D$96/(1+$B12)^Inputs!$C$62))/Base!$D$110)</f>
        <v>3.81285118579636</v>
      </c>
      <c r="F12" s="13" t="n">
        <f aca="false">IF((SUMPRODUCT(Base!$E$74:$N$74*Base!$E$77:$N$77/(1+$B12)^Base!$E$78:$N$78)+Base!$N$74*(1+F$5)/($B12-F$5)/(1+$B12)^Base!$N$78+(Base!$D$108-Base!$D$107-Base!$D$96/(1+$B12)^Inputs!$C$62))/Base!$D$110&gt;Inputs!$B$11,((SUMPRODUCT(Base!$E$74:$N$74*Base!$E$77:$N$77/(1+$B12)^Base!$E$78:$N$78)+Base!$N$74*(1+F$5)/($B12-F$5)/(1+$B12)^Base!$N$78+(Base!$D$108-Base!$D$107-Base!$D$96/(1+$B12)^Inputs!$C$62))+Inputs!$B$10)/(Base!$D$110+Inputs!$B$12),(SUMPRODUCT(Base!$E$74:$N$74*Base!$E$77:$N$77/(1+$B12)^Base!$E$78:$N$78)+Base!$N$74*(1+F$5)/($B12-F$5)/(1+$B12)^Base!$N$78+(Base!$D$108-Base!$D$107-Base!$D$96/(1+$B12)^Inputs!$C$62))/Base!$D$110)</f>
        <v>3.9367269936617</v>
      </c>
      <c r="G12" s="13" t="n">
        <f aca="false">IF((SUMPRODUCT(Base!$E$74:$N$74*Base!$E$77:$N$77/(1+$B12)^Base!$E$78:$N$78)+Base!$N$74*(1+G$5)/($B12-G$5)/(1+$B12)^Base!$N$78+(Base!$D$108-Base!$D$107-Base!$D$96/(1+$B12)^Inputs!$C$62))/Base!$D$110&gt;Inputs!$B$11,((SUMPRODUCT(Base!$E$74:$N$74*Base!$E$77:$N$77/(1+$B12)^Base!$E$78:$N$78)+Base!$N$74*(1+G$5)/($B12-G$5)/(1+$B12)^Base!$N$78+(Base!$D$108-Base!$D$107-Base!$D$96/(1+$B12)^Inputs!$C$62))+Inputs!$B$10)/(Base!$D$110+Inputs!$B$12),(SUMPRODUCT(Base!$E$74:$N$74*Base!$E$77:$N$77/(1+$B12)^Base!$E$78:$N$78)+Base!$N$74*(1+G$5)/($B12-G$5)/(1+$B12)^Base!$N$78+(Base!$D$108-Base!$D$107-Base!$D$96/(1+$B12)^Inputs!$C$62))/Base!$D$110)</f>
        <v>4.07522890789286</v>
      </c>
    </row>
    <row r="15" customFormat="false" ht="15" hidden="false" customHeight="false" outlineLevel="0" collapsed="false">
      <c r="A15" s="49" t="s">
        <v>394</v>
      </c>
    </row>
    <row r="16" customFormat="false" ht="15" hidden="false" customHeight="false" outlineLevel="0" collapsed="false">
      <c r="A16" s="2" t="s">
        <v>395</v>
      </c>
    </row>
    <row r="17" customFormat="false" ht="15" hidden="false" customHeight="false" outlineLevel="0" collapsed="false">
      <c r="B17" s="51" t="s">
        <v>396</v>
      </c>
      <c r="C17" s="54" t="n">
        <v>8</v>
      </c>
      <c r="D17" s="54" t="n">
        <v>10</v>
      </c>
      <c r="E17" s="54" t="n">
        <v>12</v>
      </c>
      <c r="F17" s="54" t="n">
        <v>14</v>
      </c>
      <c r="G17" s="54" t="n">
        <v>16</v>
      </c>
    </row>
    <row r="18" customFormat="false" ht="15" hidden="false" customHeight="false" outlineLevel="0" collapsed="false">
      <c r="B18" s="55" t="n">
        <v>1100</v>
      </c>
      <c r="C18" s="13" t="n">
        <f aca="false">($B18*C$17+Base!$D$108)/Base!$D$110/(1+Inputs!$B$20)^(Inputs!$B$7+1)</f>
        <v>2.17895153279646</v>
      </c>
      <c r="D18" s="13" t="n">
        <f aca="false">($B18*D$17+Base!$D$108)/Base!$D$110/(1+Inputs!$B$20)^(Inputs!$B$7+1)</f>
        <v>2.63807255859864</v>
      </c>
      <c r="E18" s="13" t="n">
        <f aca="false">($B18*E$17+Base!$D$108)/Base!$D$110/(1+Inputs!$B$20)^(Inputs!$B$7+1)</f>
        <v>3.09719358440083</v>
      </c>
      <c r="F18" s="13" t="n">
        <f aca="false">($B18*F$17+Base!$D$108)/Base!$D$110/(1+Inputs!$B$20)^(Inputs!$B$7+1)</f>
        <v>3.55631461020302</v>
      </c>
      <c r="G18" s="13" t="n">
        <f aca="false">($B18*G$17+Base!$D$108)/Base!$D$110/(1+Inputs!$B$20)^(Inputs!$B$7+1)</f>
        <v>4.0154356360052</v>
      </c>
      <c r="H18" s="2" t="s">
        <v>397</v>
      </c>
    </row>
    <row r="19" customFormat="false" ht="15" hidden="false" customHeight="false" outlineLevel="0" collapsed="false">
      <c r="B19" s="55" t="n">
        <v>1250</v>
      </c>
      <c r="C19" s="13" t="n">
        <f aca="false">($B19*C$17+Base!$D$108)/Base!$D$110/(1+Inputs!$B$20)^(Inputs!$B$7+1)</f>
        <v>2.42938118323401</v>
      </c>
      <c r="D19" s="13" t="n">
        <f aca="false">($B19*D$17+Base!$D$108)/Base!$D$110/(1+Inputs!$B$20)^(Inputs!$B$7+1)</f>
        <v>2.95110962164559</v>
      </c>
      <c r="E19" s="13" t="n">
        <f aca="false">($B19*E$17+Base!$D$108)/Base!$D$110/(1+Inputs!$B$20)^(Inputs!$B$7+1)</f>
        <v>3.47283806005716</v>
      </c>
      <c r="F19" s="13" t="n">
        <f aca="false">($B19*F$17+Base!$D$108)/Base!$D$110/(1+Inputs!$B$20)^(Inputs!$B$7+1)</f>
        <v>3.99456649846874</v>
      </c>
      <c r="G19" s="13" t="n">
        <f aca="false">($B19*G$17+Base!$D$108)/Base!$D$110/(1+Inputs!$B$20)^(Inputs!$B$7+1)</f>
        <v>4.51629493688031</v>
      </c>
      <c r="H19" s="8" t="n">
        <f aca="false">Base!G52</f>
        <v>1610.67251015</v>
      </c>
    </row>
    <row r="20" customFormat="false" ht="15" hidden="false" customHeight="false" outlineLevel="0" collapsed="false">
      <c r="B20" s="55" t="n">
        <v>1400</v>
      </c>
      <c r="C20" s="13" t="n">
        <f aca="false">($B20*C$17+Base!$D$108)/Base!$D$110/(1+Inputs!$B$20)^(Inputs!$B$7+1)</f>
        <v>2.67981083367157</v>
      </c>
      <c r="D20" s="13" t="n">
        <f aca="false">($B20*D$17+Base!$D$108)/Base!$D$110/(1+Inputs!$B$20)^(Inputs!$B$7+1)</f>
        <v>3.26414668469253</v>
      </c>
      <c r="E20" s="13" t="n">
        <f aca="false">($B20*E$17+Base!$D$108)/Base!$D$110/(1+Inputs!$B$20)^(Inputs!$B$7+1)</f>
        <v>3.8484825357135</v>
      </c>
      <c r="F20" s="13" t="n">
        <f aca="false">($B20*F$17+Base!$D$108)/Base!$D$110/(1+Inputs!$B$20)^(Inputs!$B$7+1)</f>
        <v>4.43281838673446</v>
      </c>
      <c r="G20" s="13" t="n">
        <f aca="false">($B20*G$17+Base!$D$108)/Base!$D$110/(1+Inputs!$B$20)^(Inputs!$B$7+1)</f>
        <v>5.01715423775543</v>
      </c>
      <c r="H20" s="2" t="s">
        <v>398</v>
      </c>
    </row>
    <row r="21" customFormat="false" ht="15" hidden="false" customHeight="false" outlineLevel="0" collapsed="false">
      <c r="B21" s="55" t="n">
        <v>1550</v>
      </c>
      <c r="C21" s="13" t="n">
        <f aca="false">($B21*C$17+Base!$D$108)/Base!$D$110/(1+Inputs!$B$20)^(Inputs!$B$7+1)</f>
        <v>2.93024048410913</v>
      </c>
      <c r="D21" s="13" t="n">
        <f aca="false">($B21*D$17+Base!$D$108)/Base!$D$110/(1+Inputs!$B$20)^(Inputs!$B$7+1)</f>
        <v>3.57718374773948</v>
      </c>
      <c r="E21" s="13" t="n">
        <f aca="false">($B21*E$17+Base!$D$108)/Base!$D$110/(1+Inputs!$B$20)^(Inputs!$B$7+1)</f>
        <v>4.22412701136983</v>
      </c>
      <c r="F21" s="13" t="n">
        <f aca="false">($B21*F$17+Base!$D$108)/Base!$D$110/(1+Inputs!$B$20)^(Inputs!$B$7+1)</f>
        <v>4.87107027500018</v>
      </c>
      <c r="G21" s="13" t="n">
        <f aca="false">($B21*G$17+Base!$D$108)/Base!$D$110/(1+Inputs!$B$20)^(Inputs!$B$7+1)</f>
        <v>5.51801353863054</v>
      </c>
      <c r="H21" s="17" t="n">
        <v>1700</v>
      </c>
    </row>
    <row r="22" customFormat="false" ht="15" hidden="false" customHeight="false" outlineLevel="0" collapsed="false">
      <c r="B22" s="55" t="n">
        <v>1700</v>
      </c>
      <c r="C22" s="13" t="n">
        <f aca="false">($B22*C$17+Base!$D$108)/Base!$D$110/(1+Inputs!$B$20)^(Inputs!$B$7+1)</f>
        <v>3.18067013454668</v>
      </c>
      <c r="D22" s="13" t="n">
        <f aca="false">($B22*D$17+Base!$D$108)/Base!$D$110/(1+Inputs!$B$20)^(Inputs!$B$7+1)</f>
        <v>3.89022081078642</v>
      </c>
      <c r="E22" s="13" t="n">
        <f aca="false">($B22*E$17+Base!$D$108)/Base!$D$110/(1+Inputs!$B$20)^(Inputs!$B$7+1)</f>
        <v>4.59977148702617</v>
      </c>
      <c r="F22" s="13" t="n">
        <f aca="false">($B22*F$17+Base!$D$108)/Base!$D$110/(1+Inputs!$B$20)^(Inputs!$B$7+1)</f>
        <v>5.30932216326591</v>
      </c>
      <c r="G22" s="13" t="n">
        <f aca="false">($B22*G$17+Base!$D$108)/Base!$D$110/(1+Inputs!$B$20)^(Inputs!$B$7+1)</f>
        <v>6.01887283950565</v>
      </c>
      <c r="H22" s="2" t="s">
        <v>399</v>
      </c>
    </row>
    <row r="23" customFormat="false" ht="15" hidden="false" customHeight="false" outlineLevel="0" collapsed="false">
      <c r="B23" s="55" t="n">
        <v>1850</v>
      </c>
      <c r="C23" s="13" t="n">
        <f aca="false">($B23*C$17+Base!$D$108)/Base!$D$110/(1+Inputs!$B$20)^(Inputs!$B$7+1)</f>
        <v>3.43109978498424</v>
      </c>
      <c r="D23" s="13" t="n">
        <f aca="false">($B23*D$17+Base!$D$108)/Base!$D$110/(1+Inputs!$B$20)^(Inputs!$B$7+1)</f>
        <v>4.20325787383337</v>
      </c>
      <c r="E23" s="13" t="n">
        <f aca="false">($B23*E$17+Base!$D$108)/Base!$D$110/(1+Inputs!$B$20)^(Inputs!$B$7+1)</f>
        <v>4.9754159626825</v>
      </c>
      <c r="F23" s="13" t="n">
        <f aca="false">($B23*F$17+Base!$D$108)/Base!$D$110/(1+Inputs!$B$20)^(Inputs!$B$7+1)</f>
        <v>5.74757405153163</v>
      </c>
      <c r="G23" s="13" t="n">
        <f aca="false">($B23*G$17+Base!$D$108)/Base!$D$110/(1+Inputs!$B$20)^(Inputs!$B$7+1)</f>
        <v>6.51973214038076</v>
      </c>
      <c r="H23" s="48" t="n">
        <f aca="false">(Inputs!$B$6*Base!$D$110*(1+Inputs!$B$20)^(Inputs!$B$7+1)-Base!$D$108)/Base!G52</f>
        <v>7.66818203590004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22"/>
    <col collapsed="false" customWidth="true" hidden="false" outlineLevel="0" max="3" min="3" style="0" width="12"/>
    <col collapsed="false" customWidth="true" hidden="false" outlineLevel="0" max="4" min="4" style="0" width="90"/>
  </cols>
  <sheetData>
    <row r="1" customFormat="false" ht="17.35" hidden="false" customHeight="false" outlineLevel="0" collapsed="false">
      <c r="A1" s="1" t="s">
        <v>400</v>
      </c>
    </row>
    <row r="2" customFormat="false" ht="15" hidden="false" customHeight="false" outlineLevel="0" collapsed="false">
      <c r="A2" s="2" t="s">
        <v>401</v>
      </c>
    </row>
    <row r="4" customFormat="false" ht="15" hidden="false" customHeight="false" outlineLevel="0" collapsed="false">
      <c r="A4" s="5" t="s">
        <v>402</v>
      </c>
      <c r="B4" s="6" t="s">
        <v>403</v>
      </c>
      <c r="C4" s="6" t="s">
        <v>404</v>
      </c>
      <c r="D4" s="6" t="s">
        <v>28</v>
      </c>
    </row>
    <row r="5" customFormat="false" ht="15" hidden="false" customHeight="false" outlineLevel="0" collapsed="false">
      <c r="A5" s="7" t="s">
        <v>405</v>
      </c>
      <c r="B5" s="7" t="s">
        <v>406</v>
      </c>
      <c r="C5" s="29" t="n">
        <v>12</v>
      </c>
      <c r="D5" s="2" t="s">
        <v>407</v>
      </c>
    </row>
    <row r="6" customFormat="false" ht="15" hidden="false" customHeight="false" outlineLevel="0" collapsed="false">
      <c r="A6" s="7" t="s">
        <v>408</v>
      </c>
      <c r="B6" s="7" t="s">
        <v>409</v>
      </c>
      <c r="C6" s="29" t="n">
        <v>19</v>
      </c>
      <c r="D6" s="2" t="s">
        <v>410</v>
      </c>
    </row>
    <row r="7" customFormat="false" ht="15" hidden="false" customHeight="false" outlineLevel="0" collapsed="false">
      <c r="A7" s="7" t="s">
        <v>411</v>
      </c>
      <c r="B7" s="7" t="s">
        <v>412</v>
      </c>
      <c r="C7" s="29" t="n">
        <v>16.1</v>
      </c>
      <c r="D7" s="2" t="s">
        <v>413</v>
      </c>
    </row>
    <row r="10" customFormat="false" ht="15" hidden="false" customHeight="false" outlineLevel="0" collapsed="false">
      <c r="A10" s="9" t="s">
        <v>414</v>
      </c>
      <c r="C10" s="56" t="n">
        <f aca="false">MEDIAN(C5:C7)</f>
        <v>16.1</v>
      </c>
    </row>
    <row r="12" customFormat="false" ht="15" hidden="false" customHeight="false" outlineLevel="0" collapsed="false">
      <c r="A12" s="49" t="s">
        <v>415</v>
      </c>
    </row>
    <row r="13" customFormat="false" ht="15" hidden="false" customHeight="false" outlineLevel="0" collapsed="false">
      <c r="A13" s="7" t="s">
        <v>416</v>
      </c>
      <c r="C13" s="19" t="n">
        <f aca="false">Inputs!$B$6*Base!D110</f>
        <v>12153.04</v>
      </c>
    </row>
    <row r="14" customFormat="false" ht="15" hidden="false" customHeight="false" outlineLevel="0" collapsed="false">
      <c r="A14" s="7" t="s">
        <v>417</v>
      </c>
      <c r="C14" s="19" t="n">
        <f aca="false">Base!D108</f>
        <v>1641.02339633992</v>
      </c>
    </row>
    <row r="15" customFormat="false" ht="15" hidden="false" customHeight="false" outlineLevel="0" collapsed="false">
      <c r="A15" s="7" t="s">
        <v>418</v>
      </c>
      <c r="C15" s="19" t="n">
        <f aca="false">C13-C14</f>
        <v>10512.0166036601</v>
      </c>
    </row>
    <row r="16" customFormat="false" ht="15" hidden="false" customHeight="false" outlineLevel="0" collapsed="false">
      <c r="A16" s="7" t="s">
        <v>419</v>
      </c>
      <c r="C16" s="48" t="n">
        <f aca="false">C15/Base!E52</f>
        <v>14.2728496212225</v>
      </c>
    </row>
    <row r="17" customFormat="false" ht="15" hidden="false" customHeight="false" outlineLevel="0" collapsed="false">
      <c r="A17" s="7" t="s">
        <v>420</v>
      </c>
      <c r="C17" s="48" t="n">
        <f aca="false">C15/Base!F52</f>
        <v>9.72446276674203</v>
      </c>
    </row>
    <row r="18" customFormat="false" ht="15" hidden="false" customHeight="false" outlineLevel="0" collapsed="false">
      <c r="A18" s="7" t="s">
        <v>421</v>
      </c>
      <c r="C18" s="48" t="n">
        <f aca="false">C15/Base!G52</f>
        <v>6.52647669679363</v>
      </c>
    </row>
    <row r="19" customFormat="false" ht="15" hidden="false" customHeight="false" outlineLevel="0" collapsed="false">
      <c r="A19" s="7" t="s">
        <v>422</v>
      </c>
      <c r="C19" s="48" t="n">
        <f aca="false">C15/(Base!F52-Base!F57)</f>
        <v>13.6365833208457</v>
      </c>
    </row>
    <row r="20" customFormat="false" ht="15" hidden="false" customHeight="false" outlineLevel="0" collapsed="false">
      <c r="A20" s="7" t="s">
        <v>423</v>
      </c>
      <c r="C20" s="14" t="n">
        <f aca="false">Base!G74/C13</f>
        <v>0.0379732190753823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0"/>
  </cols>
  <sheetData>
    <row r="1" customFormat="false" ht="17.35" hidden="false" customHeight="false" outlineLevel="0" collapsed="false">
      <c r="A1" s="1" t="s">
        <v>424</v>
      </c>
    </row>
    <row r="3" customFormat="false" ht="15" hidden="false" customHeight="false" outlineLevel="0" collapsed="false">
      <c r="A3" s="7" t="s">
        <v>425</v>
      </c>
    </row>
    <row r="4" customFormat="false" ht="15" hidden="false" customHeight="false" outlineLevel="0" collapsed="false">
      <c r="A4" s="7" t="s">
        <v>426</v>
      </c>
    </row>
    <row r="5" customFormat="false" ht="15" hidden="false" customHeight="false" outlineLevel="0" collapsed="false">
      <c r="A5" s="7" t="s">
        <v>427</v>
      </c>
    </row>
    <row r="6" customFormat="false" ht="15" hidden="false" customHeight="false" outlineLevel="0" collapsed="false">
      <c r="A6" s="7" t="s">
        <v>428</v>
      </c>
    </row>
    <row r="7" customFormat="false" ht="15" hidden="false" customHeight="false" outlineLevel="0" collapsed="false">
      <c r="A7" s="7" t="s">
        <v>429</v>
      </c>
    </row>
    <row r="8" customFormat="false" ht="15" hidden="false" customHeight="false" outlineLevel="0" collapsed="false">
      <c r="A8" s="7" t="s">
        <v>430</v>
      </c>
    </row>
    <row r="9" customFormat="false" ht="15" hidden="false" customHeight="false" outlineLevel="0" collapsed="false">
      <c r="A9" s="7" t="s">
        <v>431</v>
      </c>
    </row>
    <row r="10" customFormat="false" ht="15" hidden="false" customHeight="false" outlineLevel="0" collapsed="false">
      <c r="A10" s="7" t="s">
        <v>432</v>
      </c>
    </row>
    <row r="11" customFormat="false" ht="15" hidden="false" customHeight="false" outlineLevel="0" collapsed="false">
      <c r="A11" s="7" t="s">
        <v>433</v>
      </c>
    </row>
    <row r="12" customFormat="false" ht="15" hidden="false" customHeight="false" outlineLevel="0" collapsed="false">
      <c r="A12" s="7" t="s">
        <v>434</v>
      </c>
    </row>
    <row r="13" customFormat="false" ht="15" hidden="false" customHeight="false" outlineLevel="0" collapsed="false">
      <c r="A13" s="7" t="s">
        <v>435</v>
      </c>
    </row>
    <row r="14" customFormat="false" ht="15" hidden="false" customHeight="false" outlineLevel="0" collapsed="false">
      <c r="A14" s="7" t="s">
        <v>436</v>
      </c>
    </row>
    <row r="15" customFormat="false" ht="15" hidden="false" customHeight="false" outlineLevel="0" collapsed="false">
      <c r="A15" s="7" t="s">
        <v>437</v>
      </c>
    </row>
    <row r="16" customFormat="false" ht="15" hidden="false" customHeight="false" outlineLevel="0" collapsed="false">
      <c r="A16" s="7" t="s">
        <v>438</v>
      </c>
    </row>
    <row r="17" customFormat="false" ht="15" hidden="false" customHeight="false" outlineLevel="0" collapsed="false">
      <c r="A17" s="7" t="s">
        <v>439</v>
      </c>
    </row>
    <row r="18" customFormat="false" ht="15" hidden="false" customHeight="false" outlineLevel="0" collapsed="false">
      <c r="A18" s="7" t="s">
        <v>440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2026-10-16T22:01:13Z</dcterms:created>
  <dc:creator>openpyxl</dc:creator>
  <dc:description/>
  <dc:language>en-US</dc:language>
  <cp:lastModifiedBy/>
  <dcterms:modified xsi:type="dcterms:W3CDTF">2026-10-16T23:01:15Z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