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aihan Noor\Downloads\"/>
    </mc:Choice>
  </mc:AlternateContent>
  <xr:revisionPtr revIDLastSave="0" documentId="13_ncr:1_{DE18F967-1F68-41C1-BACE-F53F96172168}" xr6:coauthVersionLast="47" xr6:coauthVersionMax="47" xr10:uidLastSave="{00000000-0000-0000-0000-000000000000}"/>
  <bookViews>
    <workbookView xWindow="7515" yWindow="4650" windowWidth="12660" windowHeight="10740" tabRatio="500" activeTab="5" xr2:uid="{00000000-000D-0000-FFFF-FFFF00000000}"/>
  </bookViews>
  <sheets>
    <sheet name="Revenue Model" sheetId="1" r:id="rId1"/>
    <sheet name="Income Statement" sheetId="2" r:id="rId2"/>
    <sheet name="Cash Flow" sheetId="3" r:id="rId3"/>
    <sheet name="Balance Sheet" sheetId="4" r:id="rId4"/>
    <sheet name="Scenarios" sheetId="5" r:id="rId5"/>
    <sheet name="DCF Inputs" sheetId="6" r:id="rId6"/>
    <sheet name="DCF" sheetId="7" r:id="rId7"/>
    <sheet name="Sensitivity" sheetId="8" r:id="rId8"/>
    <sheet name="Comps" sheetId="9" r:id="rId9"/>
    <sheet name="Valuation Summary" sheetId="10" r:id="rId10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2" i="10" l="1"/>
  <c r="E43" i="10" s="1"/>
  <c r="E41" i="10"/>
  <c r="E37" i="10"/>
  <c r="E31" i="10"/>
  <c r="D31" i="10"/>
  <c r="D26" i="10"/>
  <c r="C26" i="10"/>
  <c r="E26" i="10" s="1"/>
  <c r="B26" i="10"/>
  <c r="C19" i="10"/>
  <c r="C13" i="10"/>
  <c r="E10" i="10"/>
  <c r="B3" i="10"/>
  <c r="C51" i="9"/>
  <c r="E50" i="9"/>
  <c r="E45" i="9"/>
  <c r="B27" i="9"/>
  <c r="V22" i="9"/>
  <c r="E22" i="9"/>
  <c r="D22" i="9"/>
  <c r="C22" i="9"/>
  <c r="V14" i="9"/>
  <c r="AJ14" i="9" s="1"/>
  <c r="U14" i="9"/>
  <c r="AI14" i="9" s="1"/>
  <c r="T14" i="9"/>
  <c r="AH14" i="9" s="1"/>
  <c r="S14" i="9"/>
  <c r="AG14" i="9" s="1"/>
  <c r="R14" i="9"/>
  <c r="AF14" i="9" s="1"/>
  <c r="Q14" i="9"/>
  <c r="AE14" i="9" s="1"/>
  <c r="AI13" i="9"/>
  <c r="V13" i="9"/>
  <c r="AJ13" i="9" s="1"/>
  <c r="U13" i="9"/>
  <c r="T13" i="9"/>
  <c r="AH13" i="9" s="1"/>
  <c r="S13" i="9"/>
  <c r="AG13" i="9" s="1"/>
  <c r="R13" i="9"/>
  <c r="AF13" i="9" s="1"/>
  <c r="Q13" i="9"/>
  <c r="AE13" i="9" s="1"/>
  <c r="AJ12" i="9"/>
  <c r="AI12" i="9"/>
  <c r="AH12" i="9"/>
  <c r="AG12" i="9"/>
  <c r="AF12" i="9"/>
  <c r="V12" i="9"/>
  <c r="U12" i="9"/>
  <c r="T12" i="9"/>
  <c r="S12" i="9"/>
  <c r="R12" i="9"/>
  <c r="Q12" i="9"/>
  <c r="AE12" i="9" s="1"/>
  <c r="V11" i="9"/>
  <c r="AJ11" i="9" s="1"/>
  <c r="U11" i="9"/>
  <c r="AI11" i="9" s="1"/>
  <c r="T11" i="9"/>
  <c r="AH11" i="9" s="1"/>
  <c r="S11" i="9"/>
  <c r="AG11" i="9" s="1"/>
  <c r="R11" i="9"/>
  <c r="AF11" i="9" s="1"/>
  <c r="Q11" i="9"/>
  <c r="AE11" i="9" s="1"/>
  <c r="V10" i="9"/>
  <c r="AJ10" i="9" s="1"/>
  <c r="U10" i="9"/>
  <c r="AI10" i="9" s="1"/>
  <c r="T10" i="9"/>
  <c r="AH10" i="9" s="1"/>
  <c r="S10" i="9"/>
  <c r="AG10" i="9" s="1"/>
  <c r="R10" i="9"/>
  <c r="AF10" i="9" s="1"/>
  <c r="Q10" i="9"/>
  <c r="AE10" i="9" s="1"/>
  <c r="V9" i="9"/>
  <c r="AJ9" i="9" s="1"/>
  <c r="U9" i="9"/>
  <c r="AI9" i="9" s="1"/>
  <c r="T9" i="9"/>
  <c r="AH9" i="9" s="1"/>
  <c r="S9" i="9"/>
  <c r="AG9" i="9" s="1"/>
  <c r="R9" i="9"/>
  <c r="AF9" i="9" s="1"/>
  <c r="Q9" i="9"/>
  <c r="AE9" i="9" s="1"/>
  <c r="AJ8" i="9"/>
  <c r="AG8" i="9"/>
  <c r="AE8" i="9"/>
  <c r="V8" i="9"/>
  <c r="U8" i="9"/>
  <c r="AI8" i="9" s="1"/>
  <c r="T8" i="9"/>
  <c r="AH8" i="9" s="1"/>
  <c r="S8" i="9"/>
  <c r="R8" i="9"/>
  <c r="AF8" i="9" s="1"/>
  <c r="Q8" i="9"/>
  <c r="V7" i="9"/>
  <c r="AJ7" i="9" s="1"/>
  <c r="U7" i="9"/>
  <c r="AI7" i="9" s="1"/>
  <c r="T7" i="9"/>
  <c r="AH7" i="9" s="1"/>
  <c r="S7" i="9"/>
  <c r="AG7" i="9" s="1"/>
  <c r="R7" i="9"/>
  <c r="AF7" i="9" s="1"/>
  <c r="Q7" i="9"/>
  <c r="AE7" i="9" s="1"/>
  <c r="AJ6" i="9"/>
  <c r="AI6" i="9"/>
  <c r="AH6" i="9"/>
  <c r="AG6" i="9"/>
  <c r="AF6" i="9"/>
  <c r="AE6" i="9"/>
  <c r="B3" i="9"/>
  <c r="B37" i="8"/>
  <c r="K37" i="8" s="1"/>
  <c r="B36" i="8"/>
  <c r="K36" i="8" s="1"/>
  <c r="B35" i="8"/>
  <c r="K35" i="8" s="1"/>
  <c r="B34" i="8"/>
  <c r="K34" i="8" s="1"/>
  <c r="B33" i="8"/>
  <c r="K33" i="8" s="1"/>
  <c r="B32" i="8"/>
  <c r="K32" i="8" s="1"/>
  <c r="G19" i="8"/>
  <c r="P19" i="8" s="1"/>
  <c r="F19" i="8"/>
  <c r="O19" i="8" s="1"/>
  <c r="E19" i="8"/>
  <c r="N19" i="8" s="1"/>
  <c r="D19" i="8"/>
  <c r="M19" i="8" s="1"/>
  <c r="C19" i="8"/>
  <c r="L19" i="8" s="1"/>
  <c r="G7" i="8"/>
  <c r="P7" i="8" s="1"/>
  <c r="F7" i="8"/>
  <c r="O7" i="8" s="1"/>
  <c r="E7" i="8"/>
  <c r="N7" i="8" s="1"/>
  <c r="D7" i="8"/>
  <c r="M7" i="8" s="1"/>
  <c r="C7" i="8"/>
  <c r="L7" i="8" s="1"/>
  <c r="B3" i="8"/>
  <c r="C78" i="7"/>
  <c r="D78" i="7" s="1"/>
  <c r="C74" i="7"/>
  <c r="C73" i="7"/>
  <c r="C71" i="7"/>
  <c r="C70" i="7"/>
  <c r="C69" i="7"/>
  <c r="D69" i="7" s="1"/>
  <c r="C67" i="7"/>
  <c r="D67" i="7" s="1"/>
  <c r="C66" i="7"/>
  <c r="D66" i="7" s="1"/>
  <c r="C65" i="7"/>
  <c r="D65" i="7" s="1"/>
  <c r="D53" i="7"/>
  <c r="D51" i="7"/>
  <c r="C51" i="7"/>
  <c r="C24" i="7"/>
  <c r="D24" i="7" s="1"/>
  <c r="F24" i="7" s="1"/>
  <c r="E23" i="7"/>
  <c r="C23" i="7"/>
  <c r="D23" i="7" s="1"/>
  <c r="F23" i="7" s="1"/>
  <c r="C17" i="7"/>
  <c r="C34" i="7" s="1"/>
  <c r="C16" i="7"/>
  <c r="C18" i="7" s="1"/>
  <c r="E24" i="7" s="1"/>
  <c r="C13" i="7"/>
  <c r="C15" i="7" s="1"/>
  <c r="E22" i="7" s="1"/>
  <c r="C8" i="7"/>
  <c r="B3" i="7"/>
  <c r="C50" i="6"/>
  <c r="C75" i="7" s="1"/>
  <c r="C47" i="6"/>
  <c r="C72" i="7" s="1"/>
  <c r="C44" i="6"/>
  <c r="C40" i="6"/>
  <c r="C22" i="7" s="1"/>
  <c r="F24" i="6"/>
  <c r="F20" i="6"/>
  <c r="F19" i="6"/>
  <c r="F18" i="6"/>
  <c r="F17" i="6"/>
  <c r="K14" i="6"/>
  <c r="J14" i="6"/>
  <c r="I14" i="6"/>
  <c r="H14" i="6"/>
  <c r="G14" i="6"/>
  <c r="F8" i="6"/>
  <c r="B3" i="6"/>
  <c r="D61" i="5"/>
  <c r="C61" i="5"/>
  <c r="B61" i="5"/>
  <c r="D60" i="5"/>
  <c r="C60" i="5"/>
  <c r="B60" i="5"/>
  <c r="D59" i="5"/>
  <c r="C59" i="5"/>
  <c r="B59" i="5"/>
  <c r="D58" i="5"/>
  <c r="C58" i="5"/>
  <c r="B58" i="5"/>
  <c r="D57" i="5"/>
  <c r="C57" i="5"/>
  <c r="B57" i="5"/>
  <c r="D56" i="5"/>
  <c r="C56" i="5"/>
  <c r="B56" i="5"/>
  <c r="D55" i="5"/>
  <c r="C55" i="5"/>
  <c r="B55" i="5"/>
  <c r="D54" i="5"/>
  <c r="C54" i="5"/>
  <c r="B54" i="5"/>
  <c r="D53" i="5"/>
  <c r="C53" i="5"/>
  <c r="B53" i="5"/>
  <c r="K48" i="5"/>
  <c r="E61" i="5" s="1"/>
  <c r="J48" i="5"/>
  <c r="I48" i="5"/>
  <c r="H48" i="5"/>
  <c r="G48" i="5"/>
  <c r="K42" i="5"/>
  <c r="E60" i="5" s="1"/>
  <c r="J42" i="5"/>
  <c r="I42" i="5"/>
  <c r="H42" i="5"/>
  <c r="G42" i="5"/>
  <c r="K36" i="5"/>
  <c r="E59" i="5" s="1"/>
  <c r="J36" i="5"/>
  <c r="I36" i="5"/>
  <c r="H36" i="5"/>
  <c r="G36" i="5"/>
  <c r="K30" i="5"/>
  <c r="J30" i="5"/>
  <c r="I30" i="5"/>
  <c r="H30" i="5"/>
  <c r="G30" i="5"/>
  <c r="K24" i="5"/>
  <c r="J24" i="5"/>
  <c r="I24" i="5"/>
  <c r="H24" i="5"/>
  <c r="E57" i="5" s="1"/>
  <c r="G24" i="5"/>
  <c r="F61" i="1" s="1"/>
  <c r="K18" i="5"/>
  <c r="J18" i="5"/>
  <c r="I18" i="5"/>
  <c r="H18" i="5"/>
  <c r="E56" i="5" s="1"/>
  <c r="G18" i="5"/>
  <c r="E55" i="5" s="1"/>
  <c r="K12" i="5"/>
  <c r="J12" i="5"/>
  <c r="I12" i="5"/>
  <c r="H12" i="5"/>
  <c r="E54" i="5" s="1"/>
  <c r="G12" i="5"/>
  <c r="E53" i="5" s="1"/>
  <c r="F10" i="5"/>
  <c r="E10" i="5"/>
  <c r="D10" i="5"/>
  <c r="C10" i="5"/>
  <c r="D4" i="5"/>
  <c r="B3" i="5" s="1"/>
  <c r="K99" i="4"/>
  <c r="K48" i="2" s="1"/>
  <c r="K32" i="3" s="1"/>
  <c r="J99" i="4"/>
  <c r="J48" i="2" s="1"/>
  <c r="J32" i="3" s="1"/>
  <c r="I99" i="4"/>
  <c r="I48" i="2" s="1"/>
  <c r="I32" i="3" s="1"/>
  <c r="H99" i="4"/>
  <c r="H48" i="2" s="1"/>
  <c r="H32" i="3" s="1"/>
  <c r="G99" i="4"/>
  <c r="G48" i="2" s="1"/>
  <c r="G32" i="3" s="1"/>
  <c r="K92" i="4"/>
  <c r="J92" i="4"/>
  <c r="I92" i="4"/>
  <c r="H92" i="4"/>
  <c r="G92" i="4"/>
  <c r="G90" i="4"/>
  <c r="G81" i="4"/>
  <c r="G75" i="4"/>
  <c r="G70" i="4"/>
  <c r="G72" i="4" s="1"/>
  <c r="F68" i="4"/>
  <c r="E68" i="4"/>
  <c r="D68" i="4"/>
  <c r="C68" i="4"/>
  <c r="B68" i="4"/>
  <c r="G64" i="4"/>
  <c r="G57" i="4"/>
  <c r="F52" i="4"/>
  <c r="E52" i="4"/>
  <c r="D52" i="4"/>
  <c r="C52" i="4"/>
  <c r="B52" i="4"/>
  <c r="F51" i="4"/>
  <c r="E51" i="4"/>
  <c r="D51" i="4"/>
  <c r="C51" i="4"/>
  <c r="B51" i="4"/>
  <c r="F44" i="4"/>
  <c r="E44" i="4"/>
  <c r="D44" i="4"/>
  <c r="C44" i="4"/>
  <c r="B44" i="4"/>
  <c r="G42" i="4"/>
  <c r="H42" i="4" s="1"/>
  <c r="I42" i="4" s="1"/>
  <c r="J42" i="4" s="1"/>
  <c r="K42" i="4" s="1"/>
  <c r="G41" i="4"/>
  <c r="H41" i="4" s="1"/>
  <c r="I41" i="4" s="1"/>
  <c r="J41" i="4" s="1"/>
  <c r="K41" i="4" s="1"/>
  <c r="G38" i="4"/>
  <c r="H38" i="4" s="1"/>
  <c r="I38" i="4" s="1"/>
  <c r="J38" i="4" s="1"/>
  <c r="K38" i="4" s="1"/>
  <c r="G37" i="4"/>
  <c r="H37" i="4" s="1"/>
  <c r="I37" i="4" s="1"/>
  <c r="J37" i="4" s="1"/>
  <c r="K37" i="4" s="1"/>
  <c r="G34" i="4"/>
  <c r="H34" i="4" s="1"/>
  <c r="I34" i="4" s="1"/>
  <c r="J34" i="4" s="1"/>
  <c r="K34" i="4" s="1"/>
  <c r="F31" i="4"/>
  <c r="F35" i="4" s="1"/>
  <c r="F45" i="4" s="1"/>
  <c r="E31" i="4"/>
  <c r="E35" i="4" s="1"/>
  <c r="E45" i="4" s="1"/>
  <c r="D31" i="4"/>
  <c r="D35" i="4" s="1"/>
  <c r="D45" i="4" s="1"/>
  <c r="C31" i="4"/>
  <c r="C35" i="4" s="1"/>
  <c r="C45" i="4" s="1"/>
  <c r="B31" i="4"/>
  <c r="B35" i="4" s="1"/>
  <c r="B45" i="4" s="1"/>
  <c r="G30" i="4"/>
  <c r="H30" i="4" s="1"/>
  <c r="I30" i="4" s="1"/>
  <c r="J30" i="4" s="1"/>
  <c r="K30" i="4" s="1"/>
  <c r="G25" i="4"/>
  <c r="H25" i="4" s="1"/>
  <c r="G20" i="4"/>
  <c r="H20" i="4" s="1"/>
  <c r="I20" i="4" s="1"/>
  <c r="J20" i="4" s="1"/>
  <c r="K20" i="4" s="1"/>
  <c r="G19" i="4"/>
  <c r="H19" i="4" s="1"/>
  <c r="I19" i="4" s="1"/>
  <c r="J19" i="4" s="1"/>
  <c r="K19" i="4" s="1"/>
  <c r="G17" i="4"/>
  <c r="H17" i="4" s="1"/>
  <c r="I17" i="4" s="1"/>
  <c r="J17" i="4" s="1"/>
  <c r="K17" i="4" s="1"/>
  <c r="G15" i="4"/>
  <c r="H15" i="4" s="1"/>
  <c r="I15" i="4" s="1"/>
  <c r="J15" i="4" s="1"/>
  <c r="K15" i="4" s="1"/>
  <c r="F13" i="4"/>
  <c r="F21" i="4" s="1"/>
  <c r="E13" i="4"/>
  <c r="E21" i="4" s="1"/>
  <c r="D13" i="4"/>
  <c r="D21" i="4" s="1"/>
  <c r="C13" i="4"/>
  <c r="C21" i="4" s="1"/>
  <c r="C46" i="4" s="1"/>
  <c r="B13" i="4"/>
  <c r="B21" i="4" s="1"/>
  <c r="B46" i="4" s="1"/>
  <c r="B3" i="4"/>
  <c r="G37" i="3"/>
  <c r="K31" i="3"/>
  <c r="J31" i="3"/>
  <c r="I31" i="3"/>
  <c r="H31" i="3"/>
  <c r="G31" i="3"/>
  <c r="F31" i="3"/>
  <c r="F34" i="3" s="1"/>
  <c r="E31" i="3"/>
  <c r="E34" i="3" s="1"/>
  <c r="D31" i="3"/>
  <c r="D34" i="3" s="1"/>
  <c r="C31" i="3"/>
  <c r="C34" i="3" s="1"/>
  <c r="B31" i="3"/>
  <c r="B34" i="3" s="1"/>
  <c r="F26" i="3"/>
  <c r="E26" i="3"/>
  <c r="D26" i="3"/>
  <c r="C26" i="3"/>
  <c r="B26" i="3"/>
  <c r="K25" i="3"/>
  <c r="J25" i="3"/>
  <c r="I25" i="3"/>
  <c r="H25" i="3"/>
  <c r="G25" i="3"/>
  <c r="F20" i="3"/>
  <c r="E20" i="3"/>
  <c r="D20" i="3"/>
  <c r="C20" i="3"/>
  <c r="B20" i="3"/>
  <c r="G18" i="3"/>
  <c r="F9" i="3"/>
  <c r="E9" i="3"/>
  <c r="D9" i="3"/>
  <c r="C9" i="3"/>
  <c r="B9" i="3"/>
  <c r="F8" i="3"/>
  <c r="E8" i="3"/>
  <c r="D8" i="3"/>
  <c r="C8" i="3"/>
  <c r="B8" i="3"/>
  <c r="B3" i="3"/>
  <c r="F53" i="2"/>
  <c r="E53" i="2"/>
  <c r="D53" i="2"/>
  <c r="C53" i="2"/>
  <c r="B53" i="2"/>
  <c r="F42" i="2"/>
  <c r="E42" i="2"/>
  <c r="D42" i="2"/>
  <c r="C42" i="2"/>
  <c r="B42" i="2"/>
  <c r="K34" i="2"/>
  <c r="K13" i="6" s="1"/>
  <c r="J34" i="2"/>
  <c r="J13" i="6" s="1"/>
  <c r="I34" i="2"/>
  <c r="I13" i="6" s="1"/>
  <c r="H34" i="2"/>
  <c r="H13" i="6" s="1"/>
  <c r="G34" i="2"/>
  <c r="G13" i="6" s="1"/>
  <c r="F34" i="2"/>
  <c r="F13" i="6" s="1"/>
  <c r="E34" i="2"/>
  <c r="D34" i="2"/>
  <c r="C34" i="2"/>
  <c r="B34" i="2"/>
  <c r="F26" i="2"/>
  <c r="E26" i="2"/>
  <c r="D26" i="2"/>
  <c r="C26" i="2"/>
  <c r="B26" i="2"/>
  <c r="F12" i="2"/>
  <c r="E12" i="2"/>
  <c r="D12" i="2"/>
  <c r="C12" i="2"/>
  <c r="B12" i="2"/>
  <c r="B3" i="2"/>
  <c r="E62" i="1"/>
  <c r="B62" i="1"/>
  <c r="D61" i="1"/>
  <c r="C61" i="1"/>
  <c r="D60" i="1"/>
  <c r="C60" i="1"/>
  <c r="F60" i="1" s="1"/>
  <c r="D58" i="1"/>
  <c r="C58" i="1"/>
  <c r="F50" i="1"/>
  <c r="E50" i="1"/>
  <c r="D50" i="1"/>
  <c r="C50" i="1"/>
  <c r="B50" i="1"/>
  <c r="F49" i="1"/>
  <c r="E49" i="1"/>
  <c r="D49" i="1"/>
  <c r="C49" i="1"/>
  <c r="F46" i="1"/>
  <c r="E46" i="1"/>
  <c r="D46" i="1"/>
  <c r="C46" i="1"/>
  <c r="F43" i="1"/>
  <c r="E43" i="1"/>
  <c r="D43" i="1"/>
  <c r="C43" i="1"/>
  <c r="F36" i="1"/>
  <c r="E36" i="1"/>
  <c r="D36" i="1"/>
  <c r="C36" i="1"/>
  <c r="B36" i="1"/>
  <c r="F35" i="1"/>
  <c r="E35" i="1"/>
  <c r="D35" i="1"/>
  <c r="C35" i="1"/>
  <c r="B35" i="1"/>
  <c r="F34" i="1"/>
  <c r="F37" i="1" s="1"/>
  <c r="E34" i="1"/>
  <c r="E37" i="1" s="1"/>
  <c r="D34" i="1"/>
  <c r="D37" i="1" s="1"/>
  <c r="C34" i="1"/>
  <c r="C37" i="1" s="1"/>
  <c r="B34" i="1"/>
  <c r="B37" i="1" s="1"/>
  <c r="F28" i="1"/>
  <c r="E28" i="1"/>
  <c r="D28" i="1"/>
  <c r="C28" i="1"/>
  <c r="B28" i="1"/>
  <c r="F9" i="1"/>
  <c r="E9" i="1"/>
  <c r="D9" i="1"/>
  <c r="C9" i="1"/>
  <c r="B3" i="1"/>
  <c r="D32" i="10" l="1"/>
  <c r="F54" i="9"/>
  <c r="B9" i="10" s="1"/>
  <c r="B30" i="10" s="1"/>
  <c r="H54" i="9"/>
  <c r="D9" i="10" s="1"/>
  <c r="C30" i="10" s="1"/>
  <c r="G54" i="9"/>
  <c r="C9" i="10" s="1"/>
  <c r="S22" i="9"/>
  <c r="Q22" i="9"/>
  <c r="V19" i="9"/>
  <c r="V20" i="9"/>
  <c r="V17" i="9"/>
  <c r="V18" i="9"/>
  <c r="V16" i="9"/>
  <c r="U16" i="9"/>
  <c r="U19" i="9"/>
  <c r="U20" i="9"/>
  <c r="U18" i="9"/>
  <c r="U17" i="9"/>
  <c r="T18" i="9"/>
  <c r="D29" i="9" s="1"/>
  <c r="T19" i="9"/>
  <c r="C29" i="9" s="1"/>
  <c r="T20" i="9"/>
  <c r="T16" i="9"/>
  <c r="T17" i="9"/>
  <c r="E29" i="9" s="1"/>
  <c r="S16" i="9"/>
  <c r="S17" i="9"/>
  <c r="E27" i="9" s="1"/>
  <c r="H27" i="9" s="1"/>
  <c r="C28" i="10" s="1"/>
  <c r="S18" i="9"/>
  <c r="D27" i="9" s="1"/>
  <c r="G27" i="9" s="1"/>
  <c r="D28" i="10" s="1"/>
  <c r="S20" i="9"/>
  <c r="S19" i="9"/>
  <c r="C27" i="9" s="1"/>
  <c r="F27" i="9" s="1"/>
  <c r="B28" i="10" s="1"/>
  <c r="R20" i="9"/>
  <c r="R16" i="9"/>
  <c r="R17" i="9"/>
  <c r="E28" i="9" s="1"/>
  <c r="R18" i="9"/>
  <c r="D28" i="9" s="1"/>
  <c r="R19" i="9"/>
  <c r="C28" i="9" s="1"/>
  <c r="Q16" i="9"/>
  <c r="Q19" i="9"/>
  <c r="Q20" i="9"/>
  <c r="Q17" i="9"/>
  <c r="Q18" i="9"/>
  <c r="D41" i="7"/>
  <c r="G34" i="9"/>
  <c r="H34" i="9"/>
  <c r="F34" i="9"/>
  <c r="D22" i="7"/>
  <c r="C25" i="7"/>
  <c r="G48" i="1"/>
  <c r="E58" i="5"/>
  <c r="G45" i="1"/>
  <c r="G42" i="1"/>
  <c r="G61" i="1"/>
  <c r="G22" i="1" s="1"/>
  <c r="H61" i="1"/>
  <c r="G93" i="4"/>
  <c r="G29" i="3"/>
  <c r="G34" i="3" s="1"/>
  <c r="G83" i="4"/>
  <c r="G78" i="4"/>
  <c r="G79" i="4" s="1"/>
  <c r="G73" i="4"/>
  <c r="G10" i="3"/>
  <c r="G18" i="6" s="1"/>
  <c r="G66" i="4"/>
  <c r="G67" i="4" s="1"/>
  <c r="G18" i="4" s="1"/>
  <c r="H64" i="4" s="1"/>
  <c r="G61" i="4"/>
  <c r="G68" i="4" s="1"/>
  <c r="G29" i="2" s="1"/>
  <c r="I25" i="4"/>
  <c r="H18" i="3"/>
  <c r="G60" i="1"/>
  <c r="G17" i="1" s="1"/>
  <c r="H60" i="1"/>
  <c r="F58" i="1"/>
  <c r="D59" i="1"/>
  <c r="F52" i="1"/>
  <c r="F51" i="1"/>
  <c r="F10" i="1"/>
  <c r="E51" i="1"/>
  <c r="E10" i="1"/>
  <c r="E52" i="1"/>
  <c r="D10" i="1"/>
  <c r="D51" i="1"/>
  <c r="C10" i="1"/>
  <c r="C51" i="1"/>
  <c r="B10" i="1"/>
  <c r="B12" i="1" s="1"/>
  <c r="F53" i="1"/>
  <c r="F38" i="1"/>
  <c r="F39" i="1"/>
  <c r="E53" i="1"/>
  <c r="E38" i="1"/>
  <c r="E39" i="1"/>
  <c r="D53" i="1"/>
  <c r="D52" i="1" s="1"/>
  <c r="D38" i="1"/>
  <c r="D39" i="1"/>
  <c r="C53" i="1"/>
  <c r="C52" i="1" s="1"/>
  <c r="C38" i="1"/>
  <c r="C39" i="1"/>
  <c r="B53" i="1"/>
  <c r="B52" i="1" s="1"/>
  <c r="B39" i="1"/>
  <c r="F46" i="4"/>
  <c r="E46" i="4"/>
  <c r="D46" i="4"/>
  <c r="F9" i="10" l="1"/>
  <c r="D30" i="10"/>
  <c r="Q23" i="9"/>
  <c r="E51" i="9"/>
  <c r="F22" i="7"/>
  <c r="F25" i="7" s="1"/>
  <c r="C26" i="7" s="1"/>
  <c r="D25" i="7"/>
  <c r="H48" i="1"/>
  <c r="G49" i="1"/>
  <c r="H45" i="1"/>
  <c r="G46" i="1"/>
  <c r="H42" i="1"/>
  <c r="G43" i="1"/>
  <c r="G50" i="1"/>
  <c r="H22" i="1"/>
  <c r="G23" i="1"/>
  <c r="G36" i="1"/>
  <c r="G29" i="4"/>
  <c r="G33" i="4"/>
  <c r="G12" i="4"/>
  <c r="G16" i="4"/>
  <c r="H66" i="4"/>
  <c r="H67" i="4"/>
  <c r="H18" i="4" s="1"/>
  <c r="I64" i="4" s="1"/>
  <c r="G8" i="3"/>
  <c r="G17" i="6"/>
  <c r="J25" i="4"/>
  <c r="I18" i="3"/>
  <c r="H17" i="1"/>
  <c r="G18" i="1"/>
  <c r="G28" i="1"/>
  <c r="G35" i="1"/>
  <c r="G58" i="1"/>
  <c r="H58" i="1"/>
  <c r="D62" i="1"/>
  <c r="C59" i="1"/>
  <c r="C62" i="1" s="1"/>
  <c r="F11" i="1"/>
  <c r="F12" i="1"/>
  <c r="E11" i="1"/>
  <c r="E12" i="1"/>
  <c r="D11" i="1"/>
  <c r="D12" i="1"/>
  <c r="C11" i="1"/>
  <c r="C12" i="1"/>
  <c r="B26" i="1"/>
  <c r="B14" i="1" s="1"/>
  <c r="S23" i="9"/>
  <c r="E28" i="10"/>
  <c r="E30" i="10"/>
  <c r="H90" i="4"/>
  <c r="G94" i="4"/>
  <c r="G32" i="4"/>
  <c r="H81" i="4" s="1"/>
  <c r="G85" i="4"/>
  <c r="G40" i="2" s="1"/>
  <c r="D44" i="7" l="1"/>
  <c r="E44" i="7"/>
  <c r="F44" i="7"/>
  <c r="G44" i="7"/>
  <c r="H44" i="7"/>
  <c r="C63" i="7"/>
  <c r="D63" i="7"/>
  <c r="B8" i="8"/>
  <c r="K8" i="8" s="1"/>
  <c r="B9" i="8"/>
  <c r="K9" i="8" s="1"/>
  <c r="B10" i="8"/>
  <c r="K10" i="8" s="1"/>
  <c r="B11" i="8"/>
  <c r="K11" i="8" s="1"/>
  <c r="B12" i="8"/>
  <c r="K12" i="8" s="1"/>
  <c r="B13" i="8"/>
  <c r="K13" i="8" s="1"/>
  <c r="B14" i="8"/>
  <c r="K14" i="8" s="1"/>
  <c r="B20" i="8"/>
  <c r="K20" i="8" s="1"/>
  <c r="B21" i="8"/>
  <c r="K21" i="8" s="1"/>
  <c r="B22" i="8"/>
  <c r="K22" i="8" s="1"/>
  <c r="B23" i="8"/>
  <c r="K23" i="8" s="1"/>
  <c r="B24" i="8"/>
  <c r="K24" i="8" s="1"/>
  <c r="B25" i="8"/>
  <c r="K25" i="8" s="1"/>
  <c r="B26" i="8"/>
  <c r="K26" i="8" s="1"/>
  <c r="C51" i="10"/>
  <c r="I48" i="1"/>
  <c r="H49" i="1"/>
  <c r="I45" i="1"/>
  <c r="H46" i="1"/>
  <c r="I42" i="1"/>
  <c r="H43" i="1"/>
  <c r="H50" i="1"/>
  <c r="G51" i="1"/>
  <c r="G59" i="1"/>
  <c r="G10" i="1"/>
  <c r="G11" i="1" s="1"/>
  <c r="I22" i="1"/>
  <c r="H23" i="1"/>
  <c r="H36" i="1"/>
  <c r="H75" i="4"/>
  <c r="G17" i="3"/>
  <c r="I66" i="4"/>
  <c r="I67" i="4" s="1"/>
  <c r="I18" i="4" s="1"/>
  <c r="J64" i="4" s="1"/>
  <c r="K25" i="4"/>
  <c r="K18" i="3" s="1"/>
  <c r="J18" i="3"/>
  <c r="I17" i="1"/>
  <c r="H18" i="1"/>
  <c r="H28" i="1"/>
  <c r="H35" i="1"/>
  <c r="G8" i="1"/>
  <c r="F13" i="1"/>
  <c r="F26" i="1"/>
  <c r="F14" i="1" s="1"/>
  <c r="E13" i="1"/>
  <c r="E14" i="1"/>
  <c r="E26" i="1"/>
  <c r="D13" i="1"/>
  <c r="D26" i="1"/>
  <c r="D14" i="1" s="1"/>
  <c r="C13" i="1"/>
  <c r="C26" i="1"/>
  <c r="C14" i="1" s="1"/>
  <c r="B29" i="1"/>
  <c r="B54" i="1"/>
  <c r="B7" i="2"/>
  <c r="B19" i="1"/>
  <c r="B24" i="1"/>
  <c r="H94" i="4"/>
  <c r="H93" i="4"/>
  <c r="I90" i="4" s="1"/>
  <c r="G52" i="2"/>
  <c r="G54" i="2" s="1"/>
  <c r="G102" i="4"/>
  <c r="H83" i="4"/>
  <c r="H85" i="4"/>
  <c r="H40" i="2" s="1"/>
  <c r="H70" i="4"/>
  <c r="J48" i="1" l="1"/>
  <c r="I49" i="1"/>
  <c r="J45" i="1"/>
  <c r="I46" i="1"/>
  <c r="J42" i="1"/>
  <c r="I43" i="1"/>
  <c r="I50" i="1"/>
  <c r="H51" i="1"/>
  <c r="H10" i="1"/>
  <c r="H11" i="1" s="1"/>
  <c r="J22" i="1"/>
  <c r="I23" i="1"/>
  <c r="I36" i="1"/>
  <c r="H78" i="4"/>
  <c r="H79" i="4"/>
  <c r="J66" i="4"/>
  <c r="J67" i="4" s="1"/>
  <c r="J18" i="4" s="1"/>
  <c r="K64" i="4" s="1"/>
  <c r="J17" i="1"/>
  <c r="I18" i="1"/>
  <c r="I28" i="1"/>
  <c r="I35" i="1"/>
  <c r="H8" i="1"/>
  <c r="G9" i="1"/>
  <c r="G12" i="1"/>
  <c r="G34" i="1"/>
  <c r="G37" i="1" s="1"/>
  <c r="F29" i="1"/>
  <c r="F54" i="1"/>
  <c r="F7" i="2"/>
  <c r="F19" i="1"/>
  <c r="F24" i="1"/>
  <c r="E29" i="1"/>
  <c r="E54" i="1"/>
  <c r="E7" i="2"/>
  <c r="E19" i="1"/>
  <c r="E24" i="1"/>
  <c r="D29" i="1"/>
  <c r="D54" i="1"/>
  <c r="D7" i="2"/>
  <c r="D19" i="1"/>
  <c r="D24" i="1"/>
  <c r="C29" i="1"/>
  <c r="C54" i="1"/>
  <c r="C7" i="2"/>
  <c r="C19" i="1"/>
  <c r="C24" i="1"/>
  <c r="B13" i="2"/>
  <c r="B15" i="2"/>
  <c r="B18" i="2"/>
  <c r="B20" i="2"/>
  <c r="B24" i="2"/>
  <c r="B33" i="2"/>
  <c r="B50" i="4"/>
  <c r="B53" i="4"/>
  <c r="B54" i="4"/>
  <c r="B55" i="4"/>
  <c r="B58" i="4"/>
  <c r="H102" i="4"/>
  <c r="H52" i="2"/>
  <c r="H54" i="2" s="1"/>
  <c r="I93" i="4"/>
  <c r="J90" i="4" s="1"/>
  <c r="I94" i="4"/>
  <c r="H72" i="4"/>
  <c r="F59" i="1"/>
  <c r="G62" i="1"/>
  <c r="H32" i="4"/>
  <c r="I81" i="4" s="1"/>
  <c r="H29" i="3"/>
  <c r="H34" i="3" s="1"/>
  <c r="K48" i="1" l="1"/>
  <c r="K49" i="1" s="1"/>
  <c r="J49" i="1"/>
  <c r="K45" i="1"/>
  <c r="K46" i="1" s="1"/>
  <c r="J46" i="1"/>
  <c r="K42" i="1"/>
  <c r="J43" i="1"/>
  <c r="J50" i="1"/>
  <c r="I51" i="1"/>
  <c r="I10" i="1"/>
  <c r="I11" i="1" s="1"/>
  <c r="K22" i="1"/>
  <c r="J23" i="1"/>
  <c r="J36" i="1"/>
  <c r="H29" i="4"/>
  <c r="H33" i="4"/>
  <c r="K66" i="4"/>
  <c r="K67" i="4"/>
  <c r="K18" i="4" s="1"/>
  <c r="K17" i="1"/>
  <c r="J18" i="1"/>
  <c r="J28" i="1"/>
  <c r="J35" i="1"/>
  <c r="I8" i="1"/>
  <c r="H9" i="1"/>
  <c r="H12" i="1"/>
  <c r="H34" i="1"/>
  <c r="H37" i="1" s="1"/>
  <c r="G13" i="1"/>
  <c r="G14" i="1"/>
  <c r="G26" i="1"/>
  <c r="G53" i="1"/>
  <c r="G52" i="1" s="1"/>
  <c r="G38" i="1"/>
  <c r="G39" i="1"/>
  <c r="F13" i="2"/>
  <c r="F15" i="2"/>
  <c r="F34" i="5" s="1"/>
  <c r="F18" i="2"/>
  <c r="F40" i="5" s="1"/>
  <c r="F20" i="2"/>
  <c r="F46" i="5" s="1"/>
  <c r="F24" i="2"/>
  <c r="F33" i="2"/>
  <c r="F50" i="4"/>
  <c r="F53" i="4"/>
  <c r="F54" i="4"/>
  <c r="F55" i="4"/>
  <c r="F58" i="4"/>
  <c r="F7" i="6"/>
  <c r="E13" i="2"/>
  <c r="E15" i="2"/>
  <c r="E34" i="5" s="1"/>
  <c r="E18" i="2"/>
  <c r="E40" i="5" s="1"/>
  <c r="E20" i="2"/>
  <c r="E46" i="5" s="1"/>
  <c r="E24" i="2"/>
  <c r="E33" i="2"/>
  <c r="E50" i="4"/>
  <c r="E53" i="4"/>
  <c r="E54" i="4"/>
  <c r="E55" i="4"/>
  <c r="E58" i="4"/>
  <c r="D13" i="2"/>
  <c r="D15" i="2"/>
  <c r="D34" i="5" s="1"/>
  <c r="D18" i="2"/>
  <c r="D40" i="5" s="1"/>
  <c r="D20" i="2"/>
  <c r="D46" i="5" s="1"/>
  <c r="D24" i="2"/>
  <c r="D33" i="2"/>
  <c r="D50" i="4"/>
  <c r="D53" i="4"/>
  <c r="D54" i="4"/>
  <c r="D55" i="4"/>
  <c r="D58" i="4"/>
  <c r="C13" i="2"/>
  <c r="C15" i="2"/>
  <c r="C18" i="2"/>
  <c r="C20" i="2"/>
  <c r="C24" i="2"/>
  <c r="C33" i="2"/>
  <c r="C50" i="4"/>
  <c r="C53" i="4"/>
  <c r="C54" i="4"/>
  <c r="C55" i="4"/>
  <c r="C58" i="4"/>
  <c r="B14" i="2"/>
  <c r="B27" i="2"/>
  <c r="J93" i="4"/>
  <c r="I102" i="4"/>
  <c r="I52" i="2"/>
  <c r="I54" i="2" s="1"/>
  <c r="H59" i="1"/>
  <c r="F62" i="1"/>
  <c r="H62" i="1" s="1"/>
  <c r="I83" i="4"/>
  <c r="H10" i="3"/>
  <c r="H18" i="6" s="1"/>
  <c r="H73" i="4"/>
  <c r="K43" i="1" l="1"/>
  <c r="K50" i="1"/>
  <c r="J51" i="1"/>
  <c r="J10" i="1"/>
  <c r="J11" i="1" s="1"/>
  <c r="K23" i="1"/>
  <c r="K36" i="1"/>
  <c r="I75" i="4"/>
  <c r="H17" i="3"/>
  <c r="K18" i="1"/>
  <c r="K28" i="1"/>
  <c r="K35" i="1"/>
  <c r="J8" i="1"/>
  <c r="I9" i="1"/>
  <c r="I12" i="1"/>
  <c r="I34" i="1"/>
  <c r="I37" i="1" s="1"/>
  <c r="H13" i="1"/>
  <c r="H26" i="1"/>
  <c r="H14" i="1" s="1"/>
  <c r="H53" i="1"/>
  <c r="H52" i="1" s="1"/>
  <c r="H38" i="1"/>
  <c r="H39" i="1"/>
  <c r="G24" i="1"/>
  <c r="G29" i="1"/>
  <c r="G19" i="1"/>
  <c r="G27" i="1"/>
  <c r="G54" i="1"/>
  <c r="G7" i="2"/>
  <c r="F14" i="2"/>
  <c r="F27" i="2"/>
  <c r="E14" i="2"/>
  <c r="E27" i="2"/>
  <c r="D14" i="2"/>
  <c r="D27" i="2"/>
  <c r="C14" i="2"/>
  <c r="C27" i="2"/>
  <c r="B30" i="2"/>
  <c r="B28" i="2"/>
  <c r="B43" i="2"/>
  <c r="H12" i="4"/>
  <c r="H16" i="4" s="1"/>
  <c r="I70" i="4" s="1"/>
  <c r="K90" i="4"/>
  <c r="J94" i="4"/>
  <c r="I32" i="4"/>
  <c r="J81" i="4" s="1"/>
  <c r="I29" i="3"/>
  <c r="I34" i="3" s="1"/>
  <c r="I85" i="4"/>
  <c r="I40" i="2" s="1"/>
  <c r="K51" i="1" l="1"/>
  <c r="K10" i="1"/>
  <c r="K11" i="1" s="1"/>
  <c r="I78" i="4"/>
  <c r="I79" i="4" s="1"/>
  <c r="K8" i="1"/>
  <c r="J9" i="1"/>
  <c r="J12" i="1"/>
  <c r="J34" i="1"/>
  <c r="J37" i="1" s="1"/>
  <c r="I13" i="1"/>
  <c r="I26" i="1"/>
  <c r="I14" i="1" s="1"/>
  <c r="I53" i="1"/>
  <c r="I52" i="1" s="1"/>
  <c r="I38" i="1"/>
  <c r="I39" i="1"/>
  <c r="H24" i="1"/>
  <c r="H29" i="1"/>
  <c r="H19" i="1"/>
  <c r="H27" i="1"/>
  <c r="H54" i="1"/>
  <c r="H7" i="2"/>
  <c r="G8" i="2"/>
  <c r="G8" i="6" s="1"/>
  <c r="G10" i="2"/>
  <c r="G17" i="2"/>
  <c r="G19" i="2"/>
  <c r="G20" i="2" s="1"/>
  <c r="G32" i="2"/>
  <c r="G9" i="4"/>
  <c r="G11" i="4"/>
  <c r="G24" i="4"/>
  <c r="G27" i="4"/>
  <c r="H22" i="9"/>
  <c r="G59" i="4"/>
  <c r="E66" i="5"/>
  <c r="G7" i="6"/>
  <c r="D38" i="7" s="1"/>
  <c r="C57" i="6"/>
  <c r="F28" i="2"/>
  <c r="F30" i="2"/>
  <c r="F12" i="6"/>
  <c r="F43" i="2"/>
  <c r="E43" i="2"/>
  <c r="E28" i="2"/>
  <c r="E30" i="2"/>
  <c r="D28" i="2"/>
  <c r="D30" i="2"/>
  <c r="D43" i="2"/>
  <c r="C28" i="2"/>
  <c r="C30" i="2"/>
  <c r="C43" i="2"/>
  <c r="B31" i="2"/>
  <c r="B35" i="2"/>
  <c r="B36" i="2" s="1"/>
  <c r="B45" i="2"/>
  <c r="B46" i="2"/>
  <c r="I72" i="4"/>
  <c r="I10" i="3" s="1"/>
  <c r="I18" i="6" s="1"/>
  <c r="I73" i="4"/>
  <c r="K93" i="4"/>
  <c r="K94" i="4" s="1"/>
  <c r="J52" i="2"/>
  <c r="J54" i="2" s="1"/>
  <c r="J102" i="4"/>
  <c r="J83" i="4"/>
  <c r="J32" i="4" s="1"/>
  <c r="K81" i="4" s="1"/>
  <c r="J29" i="3"/>
  <c r="J34" i="3" s="1"/>
  <c r="J85" i="4"/>
  <c r="J40" i="2" s="1"/>
  <c r="I29" i="4" l="1"/>
  <c r="I33" i="4" s="1"/>
  <c r="K9" i="1"/>
  <c r="K12" i="1"/>
  <c r="K34" i="1"/>
  <c r="K37" i="1" s="1"/>
  <c r="J13" i="1"/>
  <c r="J26" i="1"/>
  <c r="J14" i="1" s="1"/>
  <c r="J53" i="1"/>
  <c r="J52" i="1" s="1"/>
  <c r="J38" i="1"/>
  <c r="J39" i="1"/>
  <c r="I29" i="1"/>
  <c r="I24" i="1"/>
  <c r="I19" i="1"/>
  <c r="I27" i="1"/>
  <c r="I54" i="1"/>
  <c r="I7" i="2"/>
  <c r="H8" i="2"/>
  <c r="H8" i="6" s="1"/>
  <c r="H10" i="2"/>
  <c r="H12" i="2" s="1"/>
  <c r="H13" i="2"/>
  <c r="H15" i="2"/>
  <c r="H17" i="2"/>
  <c r="H19" i="2"/>
  <c r="H20" i="2" s="1"/>
  <c r="I22" i="9"/>
  <c r="H32" i="2"/>
  <c r="H9" i="4"/>
  <c r="H11" i="4"/>
  <c r="H24" i="4"/>
  <c r="H27" i="4"/>
  <c r="H59" i="4"/>
  <c r="H23" i="3" s="1"/>
  <c r="E67" i="5"/>
  <c r="H7" i="6"/>
  <c r="E38" i="7" s="1"/>
  <c r="C58" i="6"/>
  <c r="G18" i="2"/>
  <c r="G23" i="2"/>
  <c r="G40" i="4"/>
  <c r="G24" i="6"/>
  <c r="G9" i="3"/>
  <c r="H14" i="3"/>
  <c r="G14" i="3"/>
  <c r="G62" i="4"/>
  <c r="G14" i="4" s="1"/>
  <c r="H57" i="4" s="1"/>
  <c r="G23" i="3"/>
  <c r="F31" i="2"/>
  <c r="F11" i="6"/>
  <c r="F35" i="2"/>
  <c r="F15" i="6"/>
  <c r="F16" i="6"/>
  <c r="F21" i="6" s="1"/>
  <c r="F45" i="2"/>
  <c r="F46" i="2"/>
  <c r="E45" i="2"/>
  <c r="E46" i="2"/>
  <c r="E31" i="2"/>
  <c r="E35" i="2"/>
  <c r="E36" i="2" s="1"/>
  <c r="D31" i="2"/>
  <c r="D35" i="2"/>
  <c r="D36" i="2" s="1"/>
  <c r="D45" i="2"/>
  <c r="D46" i="2"/>
  <c r="C31" i="2"/>
  <c r="C35" i="2"/>
  <c r="C36" i="2" s="1"/>
  <c r="C45" i="2"/>
  <c r="C46" i="2"/>
  <c r="B47" i="2"/>
  <c r="B50" i="2"/>
  <c r="B7" i="3"/>
  <c r="B21" i="3" s="1"/>
  <c r="I12" i="4"/>
  <c r="I16" i="4"/>
  <c r="K52" i="2"/>
  <c r="K54" i="2" s="1"/>
  <c r="K102" i="4"/>
  <c r="K83" i="4"/>
  <c r="G19" i="3"/>
  <c r="G12" i="2"/>
  <c r="G15" i="2"/>
  <c r="J75" i="4" l="1"/>
  <c r="I17" i="3"/>
  <c r="K13" i="1"/>
  <c r="K26" i="1"/>
  <c r="K14" i="1" s="1"/>
  <c r="K38" i="1"/>
  <c r="K53" i="1"/>
  <c r="J29" i="1"/>
  <c r="J19" i="1"/>
  <c r="J24" i="1"/>
  <c r="J27" i="1"/>
  <c r="J54" i="1"/>
  <c r="J7" i="2"/>
  <c r="I8" i="2"/>
  <c r="I8" i="6" s="1"/>
  <c r="I10" i="2"/>
  <c r="I13" i="2"/>
  <c r="I17" i="2"/>
  <c r="I19" i="2"/>
  <c r="I20" i="2" s="1"/>
  <c r="I32" i="2"/>
  <c r="I9" i="4"/>
  <c r="I11" i="4"/>
  <c r="I24" i="4"/>
  <c r="I27" i="4"/>
  <c r="I59" i="4"/>
  <c r="I23" i="3" s="1"/>
  <c r="I7" i="6"/>
  <c r="F38" i="7" s="1"/>
  <c r="H10" i="4"/>
  <c r="H23" i="4"/>
  <c r="H14" i="2"/>
  <c r="H18" i="2"/>
  <c r="H23" i="2"/>
  <c r="H9" i="3"/>
  <c r="H24" i="6"/>
  <c r="H26" i="3"/>
  <c r="H19" i="6"/>
  <c r="G26" i="2"/>
  <c r="G24" i="2"/>
  <c r="H40" i="4"/>
  <c r="H61" i="4"/>
  <c r="G26" i="3"/>
  <c r="G19" i="6"/>
  <c r="F36" i="2"/>
  <c r="F9" i="6"/>
  <c r="F10" i="6" s="1"/>
  <c r="F23" i="6"/>
  <c r="F22" i="6"/>
  <c r="F47" i="2"/>
  <c r="F50" i="2"/>
  <c r="F7" i="3"/>
  <c r="F21" i="3" s="1"/>
  <c r="E47" i="2"/>
  <c r="E50" i="2"/>
  <c r="E7" i="3"/>
  <c r="E21" i="3" s="1"/>
  <c r="D47" i="2"/>
  <c r="D50" i="2"/>
  <c r="D7" i="3"/>
  <c r="D21" i="3" s="1"/>
  <c r="C47" i="2"/>
  <c r="C50" i="2"/>
  <c r="C7" i="3"/>
  <c r="C21" i="3" s="1"/>
  <c r="B55" i="2"/>
  <c r="B56" i="2"/>
  <c r="B42" i="3"/>
  <c r="B36" i="3"/>
  <c r="B38" i="3" s="1"/>
  <c r="G23" i="4"/>
  <c r="G10" i="4"/>
  <c r="G13" i="2"/>
  <c r="H19" i="3"/>
  <c r="J70" i="4"/>
  <c r="U22" i="9"/>
  <c r="R22" i="9"/>
  <c r="R23" i="9" s="1"/>
  <c r="B28" i="9"/>
  <c r="K32" i="4"/>
  <c r="K85" i="4"/>
  <c r="K40" i="2" s="1"/>
  <c r="K29" i="3"/>
  <c r="K34" i="3" s="1"/>
  <c r="J78" i="4" l="1"/>
  <c r="J79" i="4" s="1"/>
  <c r="K29" i="1"/>
  <c r="K19" i="1"/>
  <c r="K24" i="1"/>
  <c r="K27" i="1"/>
  <c r="K54" i="1"/>
  <c r="K7" i="2"/>
  <c r="J8" i="2"/>
  <c r="J8" i="6" s="1"/>
  <c r="J10" i="2"/>
  <c r="J12" i="2" s="1"/>
  <c r="J13" i="2"/>
  <c r="J15" i="2"/>
  <c r="J17" i="2"/>
  <c r="J19" i="2"/>
  <c r="J20" i="2" s="1"/>
  <c r="J32" i="2"/>
  <c r="J9" i="4"/>
  <c r="J14" i="3" s="1"/>
  <c r="J11" i="4"/>
  <c r="J24" i="4"/>
  <c r="J27" i="4"/>
  <c r="J59" i="4"/>
  <c r="J23" i="3" s="1"/>
  <c r="J7" i="6"/>
  <c r="G38" i="7" s="1"/>
  <c r="I14" i="2"/>
  <c r="I18" i="2"/>
  <c r="I23" i="2"/>
  <c r="I24" i="6"/>
  <c r="I9" i="3"/>
  <c r="I14" i="3"/>
  <c r="I26" i="3"/>
  <c r="I19" i="6"/>
  <c r="H31" i="4"/>
  <c r="H35" i="4" s="1"/>
  <c r="H16" i="3"/>
  <c r="H24" i="2"/>
  <c r="H26" i="2"/>
  <c r="H27" i="2" s="1"/>
  <c r="I40" i="4"/>
  <c r="F55" i="2"/>
  <c r="F56" i="2"/>
  <c r="F42" i="3"/>
  <c r="F36" i="3"/>
  <c r="E55" i="2"/>
  <c r="E56" i="2"/>
  <c r="E42" i="3"/>
  <c r="E36" i="3"/>
  <c r="D55" i="2"/>
  <c r="D56" i="2"/>
  <c r="D42" i="3"/>
  <c r="D36" i="3"/>
  <c r="C56" i="2"/>
  <c r="C55" i="2"/>
  <c r="C42" i="3"/>
  <c r="C36" i="3"/>
  <c r="B43" i="3"/>
  <c r="B44" i="3"/>
  <c r="B45" i="3"/>
  <c r="B39" i="3"/>
  <c r="C37" i="3"/>
  <c r="C38" i="3" s="1"/>
  <c r="G31" i="4"/>
  <c r="G35" i="4" s="1"/>
  <c r="G16" i="3"/>
  <c r="H15" i="3"/>
  <c r="H20" i="3" s="1"/>
  <c r="G15" i="3"/>
  <c r="G20" i="3" s="1"/>
  <c r="G27" i="2"/>
  <c r="G14" i="2"/>
  <c r="J72" i="4"/>
  <c r="H28" i="9"/>
  <c r="G28" i="9"/>
  <c r="F28" i="9"/>
  <c r="I19" i="3"/>
  <c r="K52" i="1"/>
  <c r="K39" i="1"/>
  <c r="I12" i="2"/>
  <c r="I15" i="2"/>
  <c r="H68" i="4"/>
  <c r="H29" i="2" s="1"/>
  <c r="H62" i="4"/>
  <c r="H14" i="4" s="1"/>
  <c r="I57" i="4" s="1"/>
  <c r="J29" i="4" l="1"/>
  <c r="J33" i="4"/>
  <c r="K8" i="2"/>
  <c r="K10" i="2"/>
  <c r="K12" i="2" s="1"/>
  <c r="K13" i="2"/>
  <c r="K15" i="2"/>
  <c r="K17" i="2"/>
  <c r="K19" i="2"/>
  <c r="K20" i="2" s="1"/>
  <c r="K32" i="2"/>
  <c r="K9" i="4"/>
  <c r="K14" i="3" s="1"/>
  <c r="K11" i="4"/>
  <c r="K24" i="4"/>
  <c r="K27" i="4"/>
  <c r="K59" i="4"/>
  <c r="K23" i="3" s="1"/>
  <c r="E68" i="5"/>
  <c r="E69" i="5"/>
  <c r="F38" i="10" s="1"/>
  <c r="K7" i="6"/>
  <c r="H38" i="7" s="1"/>
  <c r="C28" i="6"/>
  <c r="J10" i="4"/>
  <c r="J23" i="4"/>
  <c r="J14" i="2"/>
  <c r="J18" i="2"/>
  <c r="J23" i="2"/>
  <c r="J9" i="3"/>
  <c r="J24" i="6"/>
  <c r="J26" i="3"/>
  <c r="J19" i="6"/>
  <c r="I24" i="2"/>
  <c r="I26" i="2"/>
  <c r="I27" i="2" s="1"/>
  <c r="H12" i="6"/>
  <c r="H30" i="2"/>
  <c r="H28" i="2"/>
  <c r="J40" i="4"/>
  <c r="F43" i="3"/>
  <c r="F44" i="3"/>
  <c r="F45" i="3"/>
  <c r="E43" i="3"/>
  <c r="E44" i="3"/>
  <c r="E45" i="3"/>
  <c r="D43" i="3"/>
  <c r="D44" i="3"/>
  <c r="D45" i="3"/>
  <c r="C43" i="3"/>
  <c r="C44" i="3"/>
  <c r="C45" i="3"/>
  <c r="C39" i="3"/>
  <c r="D37" i="3"/>
  <c r="D38" i="3" s="1"/>
  <c r="H20" i="6"/>
  <c r="G20" i="6"/>
  <c r="G30" i="2"/>
  <c r="G12" i="6"/>
  <c r="G28" i="2"/>
  <c r="I23" i="4"/>
  <c r="I10" i="4"/>
  <c r="H17" i="6"/>
  <c r="H8" i="3"/>
  <c r="I61" i="4"/>
  <c r="J19" i="3"/>
  <c r="J10" i="3"/>
  <c r="J18" i="6" s="1"/>
  <c r="J73" i="4"/>
  <c r="K75" i="4" l="1"/>
  <c r="J17" i="3"/>
  <c r="K8" i="6"/>
  <c r="C29" i="6"/>
  <c r="K10" i="4"/>
  <c r="K15" i="3" s="1"/>
  <c r="K23" i="4"/>
  <c r="K14" i="2"/>
  <c r="E70" i="5" s="1"/>
  <c r="K18" i="2"/>
  <c r="K23" i="2"/>
  <c r="K24" i="6"/>
  <c r="K9" i="3"/>
  <c r="K26" i="3"/>
  <c r="K19" i="6"/>
  <c r="J31" i="4"/>
  <c r="J35" i="4" s="1"/>
  <c r="J16" i="3"/>
  <c r="J24" i="2"/>
  <c r="J26" i="2"/>
  <c r="J27" i="2" s="1"/>
  <c r="I28" i="2"/>
  <c r="I12" i="6"/>
  <c r="I30" i="2"/>
  <c r="H15" i="6"/>
  <c r="H16" i="6"/>
  <c r="H21" i="6" s="1"/>
  <c r="H35" i="2"/>
  <c r="H11" i="6"/>
  <c r="H31" i="2"/>
  <c r="K40" i="4"/>
  <c r="D39" i="3"/>
  <c r="E37" i="3"/>
  <c r="E38" i="3" s="1"/>
  <c r="G35" i="2"/>
  <c r="G11" i="6"/>
  <c r="G31" i="2"/>
  <c r="G15" i="6"/>
  <c r="G16" i="6"/>
  <c r="G21" i="6" s="1"/>
  <c r="I31" i="4"/>
  <c r="I35" i="4" s="1"/>
  <c r="I16" i="3"/>
  <c r="I15" i="3"/>
  <c r="I20" i="3" s="1"/>
  <c r="J15" i="3"/>
  <c r="J12" i="4"/>
  <c r="J16" i="4" s="1"/>
  <c r="K70" i="4" s="1"/>
  <c r="K19" i="3"/>
  <c r="I68" i="4"/>
  <c r="I29" i="2" s="1"/>
  <c r="I62" i="4"/>
  <c r="I14" i="4" s="1"/>
  <c r="J57" i="4" s="1"/>
  <c r="K78" i="4" l="1"/>
  <c r="K79" i="4" s="1"/>
  <c r="K16" i="3"/>
  <c r="K24" i="2"/>
  <c r="K26" i="2"/>
  <c r="K27" i="2" s="1"/>
  <c r="J28" i="2"/>
  <c r="J12" i="6"/>
  <c r="I15" i="6"/>
  <c r="I16" i="6"/>
  <c r="I31" i="2"/>
  <c r="I11" i="6"/>
  <c r="I35" i="2"/>
  <c r="H22" i="6"/>
  <c r="H23" i="6"/>
  <c r="E40" i="7"/>
  <c r="H36" i="2"/>
  <c r="H9" i="6"/>
  <c r="E39" i="3"/>
  <c r="F37" i="3"/>
  <c r="F38" i="3" s="1"/>
  <c r="G9" i="6"/>
  <c r="G36" i="2"/>
  <c r="G25" i="6"/>
  <c r="D40" i="7"/>
  <c r="G22" i="6"/>
  <c r="G23" i="6"/>
  <c r="I20" i="6"/>
  <c r="K72" i="4"/>
  <c r="I17" i="6"/>
  <c r="I8" i="3"/>
  <c r="J61" i="4"/>
  <c r="J20" i="3"/>
  <c r="K29" i="4" l="1"/>
  <c r="K33" i="4"/>
  <c r="C32" i="6"/>
  <c r="K12" i="6"/>
  <c r="E73" i="5"/>
  <c r="K28" i="2"/>
  <c r="J15" i="6"/>
  <c r="J16" i="6"/>
  <c r="I36" i="2"/>
  <c r="I9" i="6"/>
  <c r="E42" i="7"/>
  <c r="E45" i="7" s="1"/>
  <c r="E46" i="7"/>
  <c r="E39" i="7"/>
  <c r="H10" i="6"/>
  <c r="F39" i="3"/>
  <c r="G39" i="2"/>
  <c r="G42" i="2" s="1"/>
  <c r="G43" i="2" s="1"/>
  <c r="G10" i="6"/>
  <c r="D39" i="7"/>
  <c r="D42" i="7"/>
  <c r="D46" i="7"/>
  <c r="J20" i="6"/>
  <c r="I21" i="6"/>
  <c r="K10" i="3"/>
  <c r="K18" i="6" s="1"/>
  <c r="K73" i="4"/>
  <c r="J68" i="4"/>
  <c r="J29" i="2" s="1"/>
  <c r="J62" i="4"/>
  <c r="J14" i="4" s="1"/>
  <c r="K57" i="4" s="1"/>
  <c r="K31" i="4" l="1"/>
  <c r="K35" i="4" s="1"/>
  <c r="K17" i="3"/>
  <c r="K20" i="3" s="1"/>
  <c r="K20" i="6" s="1"/>
  <c r="K15" i="6"/>
  <c r="K16" i="6"/>
  <c r="I10" i="6"/>
  <c r="F39" i="7"/>
  <c r="G44" i="2"/>
  <c r="G46" i="2" s="1"/>
  <c r="D45" i="7"/>
  <c r="I23" i="6"/>
  <c r="F40" i="7"/>
  <c r="I22" i="6"/>
  <c r="K12" i="4"/>
  <c r="K16" i="4" s="1"/>
  <c r="J17" i="6"/>
  <c r="J21" i="6" s="1"/>
  <c r="J8" i="3"/>
  <c r="J30" i="2"/>
  <c r="K62" i="4"/>
  <c r="K14" i="4" s="1"/>
  <c r="K61" i="4"/>
  <c r="K68" i="4" s="1"/>
  <c r="K29" i="2" s="1"/>
  <c r="C33" i="6" l="1"/>
  <c r="K21" i="6"/>
  <c r="G47" i="2"/>
  <c r="G49" i="2"/>
  <c r="G50" i="2"/>
  <c r="G58" i="2"/>
  <c r="G7" i="3"/>
  <c r="G21" i="3" s="1"/>
  <c r="G43" i="4"/>
  <c r="F42" i="7"/>
  <c r="F46" i="7"/>
  <c r="G40" i="7"/>
  <c r="J23" i="6"/>
  <c r="J22" i="6"/>
  <c r="J11" i="6"/>
  <c r="J35" i="2"/>
  <c r="J31" i="2"/>
  <c r="K30" i="2"/>
  <c r="K8" i="3"/>
  <c r="K17" i="6"/>
  <c r="C35" i="6" s="1"/>
  <c r="E81" i="5" l="1"/>
  <c r="K22" i="6"/>
  <c r="H40" i="7"/>
  <c r="K23" i="6"/>
  <c r="C34" i="6"/>
  <c r="E80" i="5"/>
  <c r="G55" i="2"/>
  <c r="G56" i="2"/>
  <c r="G57" i="2" s="1"/>
  <c r="G59" i="2"/>
  <c r="E75" i="5"/>
  <c r="J22" i="9"/>
  <c r="G42" i="3"/>
  <c r="G36" i="3"/>
  <c r="G38" i="3" s="1"/>
  <c r="G44" i="4"/>
  <c r="G45" i="4" s="1"/>
  <c r="F45" i="7"/>
  <c r="G42" i="7"/>
  <c r="G46" i="7"/>
  <c r="J9" i="6"/>
  <c r="J36" i="2"/>
  <c r="C31" i="6"/>
  <c r="K11" i="6"/>
  <c r="K35" i="2"/>
  <c r="K31" i="2"/>
  <c r="H42" i="7" l="1"/>
  <c r="H46" i="7"/>
  <c r="C50" i="7"/>
  <c r="C52" i="7" s="1"/>
  <c r="C31" i="8"/>
  <c r="L31" i="8" s="1"/>
  <c r="D31" i="8"/>
  <c r="M31" i="8" s="1"/>
  <c r="E31" i="8"/>
  <c r="N31" i="8" s="1"/>
  <c r="F31" i="8"/>
  <c r="O31" i="8" s="1"/>
  <c r="G31" i="8"/>
  <c r="P31" i="8" s="1"/>
  <c r="G43" i="3"/>
  <c r="G44" i="3"/>
  <c r="G45" i="3"/>
  <c r="H37" i="3"/>
  <c r="H39" i="2"/>
  <c r="H42" i="2" s="1"/>
  <c r="H43" i="2" s="1"/>
  <c r="G7" i="4"/>
  <c r="G39" i="7"/>
  <c r="J10" i="6"/>
  <c r="E71" i="5"/>
  <c r="K9" i="6"/>
  <c r="C30" i="6"/>
  <c r="K36" i="2"/>
  <c r="E72" i="5" s="1"/>
  <c r="F39" i="10" s="1"/>
  <c r="G45" i="7"/>
  <c r="L32" i="8"/>
  <c r="C32" i="8" s="1"/>
  <c r="L37" i="8"/>
  <c r="C37" i="8" s="1"/>
  <c r="N35" i="8"/>
  <c r="E35" i="8" s="1"/>
  <c r="N14" i="8"/>
  <c r="E14" i="8" s="1"/>
  <c r="P9" i="8"/>
  <c r="G9" i="8" s="1"/>
  <c r="P14" i="8" l="1"/>
  <c r="G14" i="8" s="1"/>
  <c r="M11" i="8"/>
  <c r="D11" i="8" s="1"/>
  <c r="L14" i="8"/>
  <c r="C14" i="8" s="1"/>
  <c r="P26" i="8"/>
  <c r="G26" i="8" s="1"/>
  <c r="N33" i="8"/>
  <c r="E33" i="8" s="1"/>
  <c r="O23" i="8"/>
  <c r="F23" i="8" s="1"/>
  <c r="L11" i="8"/>
  <c r="C11" i="8" s="1"/>
  <c r="L12" i="8"/>
  <c r="C12" i="8" s="1"/>
  <c r="P12" i="8"/>
  <c r="G12" i="8" s="1"/>
  <c r="O13" i="8"/>
  <c r="F13" i="8" s="1"/>
  <c r="O32" i="8"/>
  <c r="F32" i="8" s="1"/>
  <c r="M33" i="8"/>
  <c r="D33" i="8" s="1"/>
  <c r="L34" i="8"/>
  <c r="C34" i="8" s="1"/>
  <c r="P34" i="8"/>
  <c r="G34" i="8" s="1"/>
  <c r="N36" i="8"/>
  <c r="E36" i="8" s="1"/>
  <c r="P11" i="8"/>
  <c r="G11" i="8" s="1"/>
  <c r="L10" i="8"/>
  <c r="C10" i="8" s="1"/>
  <c r="M10" i="8"/>
  <c r="D10" i="8" s="1"/>
  <c r="N10" i="8"/>
  <c r="E10" i="8" s="1"/>
  <c r="O10" i="8"/>
  <c r="F10" i="8" s="1"/>
  <c r="D7" i="10" s="1"/>
  <c r="P10" i="8"/>
  <c r="G10" i="8" s="1"/>
  <c r="L13" i="8"/>
  <c r="C13" i="8" s="1"/>
  <c r="N32" i="8"/>
  <c r="E32" i="8" s="1"/>
  <c r="O34" i="8"/>
  <c r="F34" i="8" s="1"/>
  <c r="L35" i="8"/>
  <c r="C35" i="8" s="1"/>
  <c r="N11" i="8"/>
  <c r="E11" i="8" s="1"/>
  <c r="M12" i="8"/>
  <c r="D12" i="8" s="1"/>
  <c r="B7" i="10" s="1"/>
  <c r="M13" i="8"/>
  <c r="D13" i="8" s="1"/>
  <c r="M14" i="8"/>
  <c r="D14" i="8" s="1"/>
  <c r="P13" i="8"/>
  <c r="G13" i="8" s="1"/>
  <c r="M32" i="8"/>
  <c r="D32" i="8" s="1"/>
  <c r="L33" i="8"/>
  <c r="C33" i="8" s="1"/>
  <c r="P33" i="8"/>
  <c r="G33" i="8" s="1"/>
  <c r="N34" i="8"/>
  <c r="E34" i="8" s="1"/>
  <c r="P35" i="8"/>
  <c r="G35" i="8" s="1"/>
  <c r="M36" i="8"/>
  <c r="D36" i="8" s="1"/>
  <c r="N25" i="8"/>
  <c r="E25" i="8" s="1"/>
  <c r="M23" i="8"/>
  <c r="D23" i="8" s="1"/>
  <c r="O36" i="8"/>
  <c r="F36" i="8" s="1"/>
  <c r="P36" i="8"/>
  <c r="G36" i="8" s="1"/>
  <c r="M20" i="8"/>
  <c r="D20" i="8" s="1"/>
  <c r="O22" i="8"/>
  <c r="F22" i="8" s="1"/>
  <c r="C25" i="10" s="1"/>
  <c r="O26" i="8"/>
  <c r="F26" i="8" s="1"/>
  <c r="O11" i="8"/>
  <c r="F11" i="8" s="1"/>
  <c r="O12" i="8"/>
  <c r="F12" i="8" s="1"/>
  <c r="N13" i="8"/>
  <c r="E13" i="8" s="1"/>
  <c r="O14" i="8"/>
  <c r="F14" i="8" s="1"/>
  <c r="L21" i="8"/>
  <c r="C21" i="8" s="1"/>
  <c r="N24" i="8"/>
  <c r="E24" i="8" s="1"/>
  <c r="N12" i="8"/>
  <c r="E12" i="8" s="1"/>
  <c r="P32" i="8"/>
  <c r="G32" i="8" s="1"/>
  <c r="O33" i="8"/>
  <c r="F33" i="8" s="1"/>
  <c r="M34" i="8"/>
  <c r="D34" i="8" s="1"/>
  <c r="O35" i="8"/>
  <c r="F35" i="8" s="1"/>
  <c r="L36" i="8"/>
  <c r="C36" i="8" s="1"/>
  <c r="M35" i="8"/>
  <c r="D35" i="8" s="1"/>
  <c r="M37" i="8"/>
  <c r="D37" i="8" s="1"/>
  <c r="N37" i="8"/>
  <c r="E37" i="8" s="1"/>
  <c r="O37" i="8"/>
  <c r="F37" i="8" s="1"/>
  <c r="P37" i="8"/>
  <c r="G37" i="8" s="1"/>
  <c r="H45" i="7"/>
  <c r="C54" i="7"/>
  <c r="C60" i="7" s="1"/>
  <c r="H44" i="2"/>
  <c r="H46" i="2" s="1"/>
  <c r="K10" i="6"/>
  <c r="H39" i="7"/>
  <c r="O9" i="8"/>
  <c r="F9" i="8" s="1"/>
  <c r="N9" i="8"/>
  <c r="E9" i="8" s="1"/>
  <c r="M9" i="8"/>
  <c r="D9" i="8" s="1"/>
  <c r="L9" i="8"/>
  <c r="C9" i="8" s="1"/>
  <c r="P8" i="8"/>
  <c r="G8" i="8" s="1"/>
  <c r="O8" i="8"/>
  <c r="F8" i="8" s="1"/>
  <c r="N8" i="8"/>
  <c r="E8" i="8" s="1"/>
  <c r="L8" i="8"/>
  <c r="C8" i="8" s="1"/>
  <c r="M8" i="8"/>
  <c r="D8" i="8" s="1"/>
  <c r="G13" i="4"/>
  <c r="G21" i="4" s="1"/>
  <c r="G46" i="4" s="1"/>
  <c r="G39" i="3"/>
  <c r="C24" i="10" l="1"/>
  <c r="E24" i="10" s="1"/>
  <c r="B24" i="10"/>
  <c r="D59" i="7"/>
  <c r="C59" i="7"/>
  <c r="H43" i="4"/>
  <c r="H47" i="2"/>
  <c r="H49" i="2"/>
  <c r="H7" i="3"/>
  <c r="H21" i="3" s="1"/>
  <c r="H50" i="2"/>
  <c r="H58" i="2"/>
  <c r="P22" i="8"/>
  <c r="G22" i="8" s="1"/>
  <c r="M22" i="8"/>
  <c r="D22" i="8" s="1"/>
  <c r="P24" i="8"/>
  <c r="G24" i="8" s="1"/>
  <c r="N26" i="8"/>
  <c r="E26" i="8" s="1"/>
  <c r="P20" i="8"/>
  <c r="G20" i="8" s="1"/>
  <c r="L24" i="8"/>
  <c r="C24" i="8" s="1"/>
  <c r="O25" i="8"/>
  <c r="F25" i="8" s="1"/>
  <c r="N21" i="8"/>
  <c r="E21" i="8" s="1"/>
  <c r="D50" i="7"/>
  <c r="P23" i="8"/>
  <c r="G23" i="8" s="1"/>
  <c r="N20" i="8"/>
  <c r="E20" i="8" s="1"/>
  <c r="O20" i="8"/>
  <c r="F20" i="8" s="1"/>
  <c r="N22" i="8"/>
  <c r="E22" i="8" s="1"/>
  <c r="L26" i="8"/>
  <c r="C26" i="8" s="1"/>
  <c r="O21" i="8"/>
  <c r="F21" i="8" s="1"/>
  <c r="L22" i="8"/>
  <c r="C22" i="8" s="1"/>
  <c r="M21" i="8"/>
  <c r="D21" i="8" s="1"/>
  <c r="L25" i="8"/>
  <c r="C25" i="8" s="1"/>
  <c r="L20" i="8"/>
  <c r="C20" i="8" s="1"/>
  <c r="M24" i="8"/>
  <c r="D24" i="8" s="1"/>
  <c r="B25" i="10" s="1"/>
  <c r="E25" i="10" s="1"/>
  <c r="N23" i="8"/>
  <c r="E23" i="8" s="1"/>
  <c r="P25" i="8"/>
  <c r="G25" i="8" s="1"/>
  <c r="P21" i="8"/>
  <c r="G21" i="8" s="1"/>
  <c r="M25" i="8"/>
  <c r="D25" i="8" s="1"/>
  <c r="L23" i="8"/>
  <c r="C23" i="8" s="1"/>
  <c r="O24" i="8"/>
  <c r="F24" i="8" s="1"/>
  <c r="M26" i="8"/>
  <c r="D26" i="8" s="1"/>
  <c r="C55" i="10" l="1"/>
  <c r="C61" i="7"/>
  <c r="H44" i="4"/>
  <c r="H45" i="4" s="1"/>
  <c r="H42" i="3"/>
  <c r="H36" i="3"/>
  <c r="H38" i="3" s="1"/>
  <c r="H56" i="2"/>
  <c r="H57" i="2" s="1"/>
  <c r="H55" i="2"/>
  <c r="H59" i="2"/>
  <c r="E76" i="5"/>
  <c r="F40" i="10" s="1"/>
  <c r="K22" i="9"/>
  <c r="C55" i="7"/>
  <c r="C49" i="10" s="1"/>
  <c r="D52" i="7"/>
  <c r="C62" i="7" l="1"/>
  <c r="C48" i="10" s="1"/>
  <c r="C64" i="7"/>
  <c r="H43" i="3"/>
  <c r="H44" i="3"/>
  <c r="H45" i="3"/>
  <c r="I37" i="3"/>
  <c r="I39" i="2"/>
  <c r="I42" i="2" s="1"/>
  <c r="I43" i="2" s="1"/>
  <c r="H7" i="4"/>
  <c r="H35" i="9"/>
  <c r="H36" i="9" s="1"/>
  <c r="D8" i="10" s="1"/>
  <c r="T22" i="9"/>
  <c r="T23" i="9" s="1"/>
  <c r="C54" i="10"/>
  <c r="F35" i="9"/>
  <c r="F36" i="9" s="1"/>
  <c r="B8" i="10" s="1"/>
  <c r="B29" i="9"/>
  <c r="G35" i="9"/>
  <c r="G36" i="9" s="1"/>
  <c r="C8" i="10" s="1"/>
  <c r="D54" i="7"/>
  <c r="D60" i="7" s="1"/>
  <c r="D55" i="7"/>
  <c r="C50" i="10" s="1"/>
  <c r="C68" i="7" l="1"/>
  <c r="C80" i="7"/>
  <c r="C81" i="7"/>
  <c r="I44" i="2"/>
  <c r="I46" i="2" s="1"/>
  <c r="D10" i="10"/>
  <c r="C27" i="10"/>
  <c r="B10" i="10"/>
  <c r="B27" i="10"/>
  <c r="F29" i="9"/>
  <c r="B29" i="10" s="1"/>
  <c r="G29" i="9"/>
  <c r="D29" i="10" s="1"/>
  <c r="H29" i="9"/>
  <c r="C29" i="10" s="1"/>
  <c r="F8" i="10"/>
  <c r="D27" i="10"/>
  <c r="D61" i="7"/>
  <c r="H13" i="4"/>
  <c r="H21" i="4" s="1"/>
  <c r="H46" i="4" s="1"/>
  <c r="H39" i="3"/>
  <c r="C76" i="7" l="1"/>
  <c r="C77" i="7"/>
  <c r="I43" i="4"/>
  <c r="I47" i="2"/>
  <c r="I49" i="2"/>
  <c r="I50" i="2" s="1"/>
  <c r="I58" i="2"/>
  <c r="I59" i="2" s="1"/>
  <c r="I7" i="3"/>
  <c r="I21" i="3" s="1"/>
  <c r="E29" i="10"/>
  <c r="E27" i="10"/>
  <c r="D64" i="7"/>
  <c r="D62" i="7"/>
  <c r="C79" i="7" l="1"/>
  <c r="E42" i="8"/>
  <c r="F41" i="10"/>
  <c r="C7" i="10"/>
  <c r="I44" i="4"/>
  <c r="I45" i="4" s="1"/>
  <c r="I42" i="3"/>
  <c r="I36" i="3"/>
  <c r="I38" i="3" s="1"/>
  <c r="I55" i="2"/>
  <c r="I56" i="2"/>
  <c r="I57" i="2" s="1"/>
  <c r="D68" i="7"/>
  <c r="D80" i="7"/>
  <c r="D81" i="7"/>
  <c r="F7" i="10" l="1"/>
  <c r="F10" i="10" s="1"/>
  <c r="C10" i="10"/>
  <c r="D24" i="10"/>
  <c r="I43" i="3"/>
  <c r="I44" i="3"/>
  <c r="I45" i="3"/>
  <c r="J37" i="3"/>
  <c r="J39" i="2"/>
  <c r="J42" i="2" s="1"/>
  <c r="J43" i="2" s="1"/>
  <c r="I7" i="4"/>
  <c r="I13" i="4" s="1"/>
  <c r="I21" i="4" s="1"/>
  <c r="I46" i="4" s="1"/>
  <c r="I39" i="3"/>
  <c r="D76" i="7"/>
  <c r="D77" i="7"/>
  <c r="F42" i="10" l="1"/>
  <c r="C14" i="10"/>
  <c r="J44" i="2"/>
  <c r="J46" i="2" s="1"/>
  <c r="D79" i="7"/>
  <c r="E43" i="8"/>
  <c r="D25" i="10"/>
  <c r="C52" i="10" l="1"/>
  <c r="C15" i="10"/>
  <c r="C20" i="10"/>
  <c r="C53" i="10"/>
  <c r="D33" i="10"/>
  <c r="J43" i="4"/>
  <c r="J47" i="2"/>
  <c r="J49" i="2"/>
  <c r="J7" i="3"/>
  <c r="J21" i="3" s="1"/>
  <c r="J50" i="2"/>
  <c r="J58" i="2"/>
  <c r="J59" i="2" s="1"/>
  <c r="C18" i="10" l="1"/>
  <c r="C56" i="10"/>
  <c r="J44" i="4"/>
  <c r="J45" i="4" s="1"/>
  <c r="J42" i="3"/>
  <c r="J36" i="3"/>
  <c r="J38" i="3" s="1"/>
  <c r="J56" i="2"/>
  <c r="J57" i="2" s="1"/>
  <c r="J55" i="2"/>
  <c r="J43" i="3" l="1"/>
  <c r="J44" i="3"/>
  <c r="J45" i="3"/>
  <c r="K37" i="3"/>
  <c r="K39" i="2"/>
  <c r="K42" i="2" s="1"/>
  <c r="K43" i="2" s="1"/>
  <c r="J7" i="4"/>
  <c r="J13" i="4" s="1"/>
  <c r="J21" i="4" s="1"/>
  <c r="J46" i="4" s="1"/>
  <c r="J39" i="3"/>
  <c r="K46" i="2" l="1"/>
  <c r="K44" i="2"/>
  <c r="K43" i="4" l="1"/>
  <c r="K44" i="4" s="1"/>
  <c r="K45" i="4" s="1"/>
  <c r="K47" i="2"/>
  <c r="K49" i="2"/>
  <c r="K50" i="2"/>
  <c r="K58" i="2"/>
  <c r="K59" i="2" s="1"/>
  <c r="K7" i="3"/>
  <c r="K21" i="3" s="1"/>
  <c r="E74" i="5"/>
  <c r="K55" i="2" l="1"/>
  <c r="K56" i="2"/>
  <c r="K42" i="3"/>
  <c r="K36" i="3"/>
  <c r="K38" i="3" s="1"/>
  <c r="K57" i="2" l="1"/>
  <c r="E77" i="5"/>
  <c r="K43" i="3"/>
  <c r="E79" i="5" s="1"/>
  <c r="K44" i="3"/>
  <c r="K45" i="3"/>
  <c r="E78" i="5"/>
  <c r="E82" i="5"/>
  <c r="K7" i="4"/>
  <c r="K13" i="4" s="1"/>
  <c r="K21" i="4" s="1"/>
  <c r="K46" i="4" s="1"/>
  <c r="K3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4" authorId="0" shapeId="0" xr:uid="{00000000-0006-0000-0400-000001000000}">
      <text>
        <r>
          <rPr>
            <sz val="10"/>
            <rFont val="Arial"/>
            <family val="2"/>
          </rPr>
          <t>Change to 1/2/3 to switch every tab to the Bull/Base/Bear driver set.</t>
        </r>
      </text>
    </comment>
  </commentList>
</comments>
</file>

<file path=xl/sharedStrings.xml><?xml version="1.0" encoding="utf-8"?>
<sst xmlns="http://schemas.openxmlformats.org/spreadsheetml/2006/main" count="923" uniqueCount="732">
  <si>
    <t>Celsius Holdings, Inc. (NASDAQ: CELH) – Revenue Model</t>
  </si>
  <si>
    <t>$ in millions except per-share data; fiscal year ends 31-Dec. Blue = hardcoded input/reported; black = formula; green = link to another tab.</t>
  </si>
  <si>
    <t>Active scenario:</t>
  </si>
  <si>
    <t>Fiscal year</t>
  </si>
  <si>
    <t>2021A</t>
  </si>
  <si>
    <t>2022A</t>
  </si>
  <si>
    <t>2023A</t>
  </si>
  <si>
    <t>2024A</t>
  </si>
  <si>
    <t>2025A</t>
  </si>
  <si>
    <t>2026E</t>
  </si>
  <si>
    <t>2027E</t>
  </si>
  <si>
    <t>2028E</t>
  </si>
  <si>
    <t>2029E</t>
  </si>
  <si>
    <t>2030E</t>
  </si>
  <si>
    <t>Notes / sources</t>
  </si>
  <si>
    <t>A. REVENUE BY BRAND / PRODUCT ($mm)</t>
  </si>
  <si>
    <t>CELSIUS brand (flagship; includes CELSIUS Essentials, HYDRATION powders and all international revenue)</t>
  </si>
  <si>
    <t xml:space="preserve">  CELSIUS – North America</t>
  </si>
  <si>
    <t>Pre-2025 = all North America revenue (single brand). FY25 = NA revenue $2,422.5mm less Alani Nu and Rockstar (rounded to tie). FY26E from half-year bridge below.</t>
  </si>
  <si>
    <t xml:space="preserve">    YoY growth</t>
  </si>
  <si>
    <t xml:space="preserve">  CELSIUS – International</t>
  </si>
  <si>
    <t>All international revenue is CELSIUS brand (Nordics core; UK/IE/FR/Benelux/Iberia/AU/NZ expansion). Linked to geography build.</t>
  </si>
  <si>
    <t xml:space="preserve">  CELSIUS brand – total</t>
  </si>
  <si>
    <t>FY25A reported CELSIUS brand revenue $1,457.7mm (+7.5%).</t>
  </si>
  <si>
    <t xml:space="preserve">    % of total revenue</t>
  </si>
  <si>
    <t xml:space="preserve">    US RTD energy $ share (Circana, latest L13W) – memo</t>
  </si>
  <si>
    <t>10.9% L13W to 28-Dec-25; 9.5% L13W to 28-Jun-26 (SKU optimisation, fewer distribution points).</t>
  </si>
  <si>
    <t>Alani Nu (acquired 1-Apr-2025; moved into PepsiCo DSD 1-Dec-2025)</t>
  </si>
  <si>
    <t xml:space="preserve">  Alani Nu</t>
  </si>
  <si>
    <t>FY25A = 9 months of ownership ($1,001.9mm). 1H26A $732.4mm. FY26E from half-year bridge.</t>
  </si>
  <si>
    <t>FY26E growth flattered by only 9 months of FY25 ownership.</t>
  </si>
  <si>
    <t>6.7% L13W to 28-Dec-25; 8.7% L13W to 28-Jun-26 (retail sales +55.7%).</t>
  </si>
  <si>
    <t>Rockstar Energy (US &amp; Canada rights acquired from PepsiCo 28-Aug-2025)</t>
  </si>
  <si>
    <t xml:space="preserve">  Rockstar Energy</t>
  </si>
  <si>
    <t>FY25A ~4 months ($55.6mm, plus ~$13mm booked in other income during transition). 1H26A $133.1mm.</t>
  </si>
  <si>
    <t>2.4% L13W to 28-Dec-25; 1.9% L13W to 28-Jun-26 (retail sales -13%).</t>
  </si>
  <si>
    <t>TOTAL REVENUE</t>
  </si>
  <si>
    <t xml:space="preserve">  YoY growth</t>
  </si>
  <si>
    <t>FY21 growth vs FY20 revenue of $130.7mm (FY2021 10-K).</t>
  </si>
  <si>
    <t xml:space="preserve">  Acquired brands (Alani Nu + Rockstar)</t>
  </si>
  <si>
    <t xml:space="preserve">  Memo: revenue from PepsiCo (% of total)</t>
  </si>
  <si>
    <t>43.2% in FY25 (10-K); 59.6% in 1H26 ($954.0mm related-party revenue / $1,600.5mm) after Alani Nu moved to PepsiCo DSD.</t>
  </si>
  <si>
    <t>B. REVENUE BY GEOGRAPHY ($mm)</t>
  </si>
  <si>
    <t>North America</t>
  </si>
  <si>
    <t xml:space="preserve">  CELSIUS brand</t>
  </si>
  <si>
    <t xml:space="preserve">  North America – total</t>
  </si>
  <si>
    <t>Reported NA: FY21 $273.0mm, FY22 $617.5mm, FY23 $1,263.3mm, FY24 $1,280.9mm, FY25 $2,422.5mm.</t>
  </si>
  <si>
    <t>International (CELSIUS brand)</t>
  </si>
  <si>
    <t xml:space="preserve">  Europe – base growth assumption</t>
  </si>
  <si>
    <t>Nordics core + UK/IE/FR/Benelux/Iberia expansion via Suntory partners. 1H26 intl +32% (2Q26 +10%).</t>
  </si>
  <si>
    <t xml:space="preserve">  Europe</t>
  </si>
  <si>
    <t>10-K geographic disclosure; FY24/25 from XBRL segment tags.</t>
  </si>
  <si>
    <t xml:space="preserve">  Asia-Pacific – base growth assumption</t>
  </si>
  <si>
    <t>AU/NZ launch via Frucor Suntory; small base (FY25 +129%).</t>
  </si>
  <si>
    <t xml:space="preserve">  Asia-Pacific</t>
  </si>
  <si>
    <t xml:space="preserve">  Other – base growth assumption</t>
  </si>
  <si>
    <t xml:space="preserve">  Other (incl. Puerto Rico, Middle East)</t>
  </si>
  <si>
    <t xml:space="preserve">  International – total</t>
  </si>
  <si>
    <t>Reported international: FY24 $74.7mm, FY25 $92.8mm; 1H26 $62.5mm. Mgmt target &gt;15% of revenue by 2031.</t>
  </si>
  <si>
    <t>TOTAL REVENUE (geography)</t>
  </si>
  <si>
    <t xml:space="preserve">  Check: brand build less geography build (should be 0)</t>
  </si>
  <si>
    <t>C. FY2026E HALF-YEAR BRIDGE ($mm) – anchors FY26E on 1H26 reported actuals</t>
  </si>
  <si>
    <t>Brand</t>
  </si>
  <si>
    <t>1H25A</t>
  </si>
  <si>
    <t>2H25A</t>
  </si>
  <si>
    <t>FY25A</t>
  </si>
  <si>
    <t>1H26A</t>
  </si>
  <si>
    <t>2H26E</t>
  </si>
  <si>
    <t>FY26E</t>
  </si>
  <si>
    <t>2H y/y</t>
  </si>
  <si>
    <t>CELSIUS – North America</t>
  </si>
  <si>
    <t>1H25: total $1,068.5mm less Alani 2Q25 $301.2mm less intl $47.5mm. 1H26: $1,600.5mm less Alani $732.4mm, Rockstar $133.1mm, intl $62.5mm.</t>
  </si>
  <si>
    <t>CELSIUS – International</t>
  </si>
  <si>
    <t>FY26E international from regional growth build; 2H26E is the residual.</t>
  </si>
  <si>
    <t>Alani Nu</t>
  </si>
  <si>
    <t>2Q25 Alani revenue $301.2mm (first quarter of ownership). 2H25 included ~$25mm net PepsiCo load-in benefit.</t>
  </si>
  <si>
    <t>Rockstar Energy</t>
  </si>
  <si>
    <t>2H26E driven sequentially off 1H26A (only 4 months owned in 2H25). H column = 2H26E vs 1H26A.</t>
  </si>
  <si>
    <t>Total revenue</t>
  </si>
  <si>
    <t>Check: 1H25A = $1,068.5mm and 1H26A = $1,600.5mm as reported.</t>
  </si>
  <si>
    <t>Sources: FY2025 10-K and 4Q25 release (SEC EDGAR, CIK 1341766); 2Q26 release (8-K, 6-Aug-2026); FY2021/FY2023 10-K geographic tables; Circana via company releases.</t>
  </si>
  <si>
    <t>Celsius Holdings, Inc. (NASDAQ: CELH) – Income Statement</t>
  </si>
  <si>
    <t>REVENUE</t>
  </si>
  <si>
    <t>Revenue</t>
  </si>
  <si>
    <t>COST OF REVENUE</t>
  </si>
  <si>
    <t>Cost of revenue (ex inventory step-up)</t>
  </si>
  <si>
    <t>FY25 reported $1,247.9mm less $22.4mm PPA inventory step-up.</t>
  </si>
  <si>
    <t>Inventory step-up (one-time, acquisitions)</t>
  </si>
  <si>
    <t>Total cost of revenue</t>
  </si>
  <si>
    <t>GROSS PROFIT</t>
  </si>
  <si>
    <t xml:space="preserve">  Gross margin (reported)</t>
  </si>
  <si>
    <t xml:space="preserve">  Gross margin (ex step-up)</t>
  </si>
  <si>
    <t>OPERATING EXPENSES</t>
  </si>
  <si>
    <t>Sales &amp; marketing</t>
  </si>
  <si>
    <t>S&amp;M / G&amp;A split disclosed from FY24 (non-GAAP reconciliation). FY21-23 shown as total SG&amp;A only.</t>
  </si>
  <si>
    <t xml:space="preserve">  % of revenue</t>
  </si>
  <si>
    <t>General &amp; administrative (ex one-offs)</t>
  </si>
  <si>
    <t>Acquisition &amp; integration costs</t>
  </si>
  <si>
    <t>1H26A $7.6mm; FY26E assumes modest 2H tail.</t>
  </si>
  <si>
    <t>Legal settlements, penalties &amp; reorganisation-related</t>
  </si>
  <si>
    <t>FY24: $54.0mm litigation/SEC accruals + $9.4mm co-packer penalties. 1Q26: $24.6mm litigation accrual.</t>
  </si>
  <si>
    <t>Total SG&amp;A (reported)</t>
  </si>
  <si>
    <t>FY22 SG&amp;A includes distributor termination costs from the transition to PepsiCo distribution.</t>
  </si>
  <si>
    <t>Distributor termination fees</t>
  </si>
  <si>
    <t>Alani Nu distributor buyouts on move to PepsiCo (up to $275mm reimbursed by PepsiCo via deferred revenue). 1H26A $85.3mm; none assumed after FY26.</t>
  </si>
  <si>
    <t>Total operating expenses</t>
  </si>
  <si>
    <t>OPERATING INCOME (EBIT)</t>
  </si>
  <si>
    <t xml:space="preserve">  EBIT margin</t>
  </si>
  <si>
    <t>Depreciation &amp; amortisation (embedded in COGS/SG&amp;A)</t>
  </si>
  <si>
    <t>EBITDA</t>
  </si>
  <si>
    <t xml:space="preserve">  EBITDA margin</t>
  </si>
  <si>
    <t>Stock-based compensation</t>
  </si>
  <si>
    <t>1H26A $18.2mm (1.1% of revenue).</t>
  </si>
  <si>
    <t>One-time items (step-up + acquisition + legal + distributor fees)</t>
  </si>
  <si>
    <t>Adjusted EBITDA (model definition)</t>
  </si>
  <si>
    <t>EBITDA + SBC + one-time items. Company definition also adds back FX and reorganisation costs (FY24 $7.7mm).</t>
  </si>
  <si>
    <t xml:space="preserve">  Adjusted EBITDA margin</t>
  </si>
  <si>
    <t xml:space="preserve">  Memo: company-reported adjusted EBITDA</t>
  </si>
  <si>
    <t>1H26A company adjusted EBITDA $379.6mm (23.7% margin).</t>
  </si>
  <si>
    <t>NON-OPERATING</t>
  </si>
  <si>
    <t>Interest income</t>
  </si>
  <si>
    <t>Projection = beginning cash (incl. restricted) x yield (avoids circularity).</t>
  </si>
  <si>
    <t>Interest expense</t>
  </si>
  <si>
    <t>Other income / (expense), net</t>
  </si>
  <si>
    <t>1H26A $9.6mm incl. Rockstar transition income from PepsiCo; fades after FY26.</t>
  </si>
  <si>
    <t>Total other income / (expense)</t>
  </si>
  <si>
    <t>PRE-TAX INCOME</t>
  </si>
  <si>
    <t>Income tax expense / (benefit)</t>
  </si>
  <si>
    <t xml:space="preserve">  Effective tax rate</t>
  </si>
  <si>
    <t>1H26A 20.1%; FY25 13.6% distorted by deductible one-offs. 23% = US federal + state, partly offset by Irish IP hub.</t>
  </si>
  <si>
    <t>NET INCOME</t>
  </si>
  <si>
    <t xml:space="preserve">  Net margin</t>
  </si>
  <si>
    <t>Less: preferred dividends (Series A &amp; B, PepsiCo)</t>
  </si>
  <si>
    <t>Less: income allocated to participating preferred</t>
  </si>
  <si>
    <t>Two-class method; preferred participates on an as-converted basis.</t>
  </si>
  <si>
    <t>Net income attributable to common</t>
  </si>
  <si>
    <t>PER SHARE</t>
  </si>
  <si>
    <t>Weighted avg. basic shares (mm)</t>
  </si>
  <si>
    <t xml:space="preserve">  Dilutive securities (mm)</t>
  </si>
  <si>
    <t>Weighted avg. diluted shares (mm)</t>
  </si>
  <si>
    <t>EPS – basic (GAAP)</t>
  </si>
  <si>
    <t>EPS – diluted (GAAP)</t>
  </si>
  <si>
    <t>Reported diluted EPS: FY21 $0.02, FY22 $(0.88), FY23 $0.77, FY24 $0.45, FY25 $0.25.</t>
  </si>
  <si>
    <t>Adjusted diluted EPS</t>
  </si>
  <si>
    <t>Historical = company-reported. Projection = GAAP NI + after-tax one-offs, less preferred dividends and participation. Consensus FY26 $1.43 / FY27 $1.73.</t>
  </si>
  <si>
    <t>Sources: FY2021-FY2025 10-K statements of operations; 4Q25 and 2Q26 earnings releases (non-GAAP reconciliations). Historical blue = reported; projections driven from Scenarios and Revenue Model.</t>
  </si>
  <si>
    <t>Celsius Holdings, Inc. (NASDAQ: CELH) – Cash Flow Statement</t>
  </si>
  <si>
    <t>OPERATING ACTIVITIES</t>
  </si>
  <si>
    <t>Net income</t>
  </si>
  <si>
    <t>Depreciation &amp; amortisation</t>
  </si>
  <si>
    <t>Amortisation of deferred other costs (PepsiCo)</t>
  </si>
  <si>
    <t>Provision for bad debts</t>
  </si>
  <si>
    <t>Deferred taxes &amp; other non-cash</t>
  </si>
  <si>
    <t>Changes in working capital:</t>
  </si>
  <si>
    <t xml:space="preserve">  Accounts receivable</t>
  </si>
  <si>
    <t xml:space="preserve">  Inventories</t>
  </si>
  <si>
    <t xml:space="preserve">  Accounts payable</t>
  </si>
  <si>
    <t xml:space="preserve">  Deferred revenue</t>
  </si>
  <si>
    <t xml:space="preserve">  Income taxes payable</t>
  </si>
  <si>
    <t xml:space="preserve">  Accrued, promotional, distributor fees &amp; other</t>
  </si>
  <si>
    <t>FY26E includes ~$264mm payout of accrued Alani distributor buyouts (largely paid in 1H26).</t>
  </si>
  <si>
    <t xml:space="preserve">  Total change in working capital</t>
  </si>
  <si>
    <t>CASH FROM OPERATIONS</t>
  </si>
  <si>
    <t>Reported CFO: FY21 $(96.6)mm, FY22 $108.2mm, FY23 $141.2mm, FY24 $262.9mm, FY25 $359.4mm (rounding &lt;$0.1mm).</t>
  </si>
  <si>
    <t>INVESTING ACTIVITIES</t>
  </si>
  <si>
    <t>Capital expenditures</t>
  </si>
  <si>
    <t>Acquisitions, net of cash</t>
  </si>
  <si>
    <t>FY24 co-packer (Big Beverages); FY25 Alani Nu ($1,275mm cash consideration, net).</t>
  </si>
  <si>
    <t>Contingent consideration, investments &amp; other</t>
  </si>
  <si>
    <t>FY26E: $25mm Alani earn-out paid 1Q26.</t>
  </si>
  <si>
    <t>CASH FROM INVESTING</t>
  </si>
  <si>
    <t>FINANCING ACTIVITIES</t>
  </si>
  <si>
    <t>Debt issued</t>
  </si>
  <si>
    <t>Debt repaid</t>
  </si>
  <si>
    <t>Common stock issued</t>
  </si>
  <si>
    <t>Share repurchases</t>
  </si>
  <si>
    <t>Preferred dividends paid</t>
  </si>
  <si>
    <t>Preferred issuance (net) &amp; other financing</t>
  </si>
  <si>
    <t>FY22 includes ~$542mm net proceeds from Series A issued to PepsiCo.</t>
  </si>
  <si>
    <t>CASH FROM FINANCING</t>
  </si>
  <si>
    <t>Effect of exchange rates</t>
  </si>
  <si>
    <t>NET CHANGE IN CASH (incl. restricted)</t>
  </si>
  <si>
    <t>Beginning cash &amp; restricted cash</t>
  </si>
  <si>
    <t>FY26E opens from the reported 31-Dec-25 balance sheet (cash $398.9mm + restricted $141.1mm).</t>
  </si>
  <si>
    <t>Ending cash &amp; restricted cash</t>
  </si>
  <si>
    <t xml:space="preserve">  Check vs balance sheet cash + restricted (rounding only in history)</t>
  </si>
  <si>
    <t>FREE CASH FLOW</t>
  </si>
  <si>
    <t>Free cash flow (CFO less capex)</t>
  </si>
  <si>
    <t xml:space="preserve">  FCF margin</t>
  </si>
  <si>
    <t xml:space="preserve">  FCF to common (after preferred dividends)</t>
  </si>
  <si>
    <t xml:space="preserve">  FCF per diluted share</t>
  </si>
  <si>
    <t>Sources: FY2021-FY2025 10-K cash flow statements (standardized line mapping via S&amp;P Global/stockanalysis.com); projections link to IS and BS.</t>
  </si>
  <si>
    <t>Celsius Holdings, Inc. (NASDAQ: CELH) – Balance Sheet</t>
  </si>
  <si>
    <t>ASSETS</t>
  </si>
  <si>
    <t>Cash &amp; equivalents</t>
  </si>
  <si>
    <t>Restricted cash (PepsiCo reimbursements)</t>
  </si>
  <si>
    <t>Restricted to settling Alani distributor buyouts; $1.9mm at 30-Jun-26.</t>
  </si>
  <si>
    <t>Accounts receivable, net</t>
  </si>
  <si>
    <t>Inventories, net</t>
  </si>
  <si>
    <t>Prepaid expenses &amp; other current assets</t>
  </si>
  <si>
    <t>Deferred other costs – current (PepsiCo)</t>
  </si>
  <si>
    <t>Total current assets</t>
  </si>
  <si>
    <t>Property, plant &amp; equipment, net</t>
  </si>
  <si>
    <t>Deferred tax assets</t>
  </si>
  <si>
    <t>Deferred other costs – non-current (PepsiCo)</t>
  </si>
  <si>
    <t>Excess of preferred fair value over price + Captaincy upfront; amortised against revenue (non-cash).</t>
  </si>
  <si>
    <t>Brands &amp; other intangibles, net</t>
  </si>
  <si>
    <t>Alani Nu / Rockstar brands treated as indefinite-lived. FY21-23 = all intangibles.</t>
  </si>
  <si>
    <t>Customer relationships, net</t>
  </si>
  <si>
    <t>Goodwill</t>
  </si>
  <si>
    <t>Other long-term assets</t>
  </si>
  <si>
    <t>Historical = balancing item to reported total assets (ROU assets, investments, other).</t>
  </si>
  <si>
    <t>TOTAL ASSETS</t>
  </si>
  <si>
    <t>LIABILITIES</t>
  </si>
  <si>
    <t>Accounts payable</t>
  </si>
  <si>
    <t>Accrued expenses</t>
  </si>
  <si>
    <t>FY21-23 includes accrued promotional allowances (not separately disclosed).</t>
  </si>
  <si>
    <t>Income taxes payable</t>
  </si>
  <si>
    <t>Accrued distributor termination fees</t>
  </si>
  <si>
    <t>$8.8mm at 30-Jun-26; assumed settled by YE26.</t>
  </si>
  <si>
    <t>Accrued promotional allowance</t>
  </si>
  <si>
    <t>Contingent consideration (Alani earn-out)</t>
  </si>
  <si>
    <t>$25mm paid 1Q26.</t>
  </si>
  <si>
    <t>Deferred revenue – current</t>
  </si>
  <si>
    <t>Other current liabilities</t>
  </si>
  <si>
    <t>FY25 excludes $7.0mm current portion of term loan (shown in debt).</t>
  </si>
  <si>
    <t>Total current liabilities</t>
  </si>
  <si>
    <t>Term loan (incl. current portion)</t>
  </si>
  <si>
    <t>$900mm TLB (Apr-25) refinanced to $700mm Oct-25 (-75bp). Carrying value net of discount.</t>
  </si>
  <si>
    <t>Deferred revenue – non-current</t>
  </si>
  <si>
    <t>Other long-term liabilities (incl. leases, DTL)</t>
  </si>
  <si>
    <t>TOTAL LIABILITIES</t>
  </si>
  <si>
    <t>MEZZANINE EQUITY (convertible preferred held by PepsiCo)</t>
  </si>
  <si>
    <t>Series A convertible preferred</t>
  </si>
  <si>
    <t>1,466,666 sh; $550mm stated; 5% dividend; converts into 22.0mm common (conv. price $25.00).</t>
  </si>
  <si>
    <t>Series B convertible preferred</t>
  </si>
  <si>
    <t>390,000 sh; $585mm stated; ~5% dividend; converts into 11.3mm common (~$51.75).</t>
  </si>
  <si>
    <t>STOCKHOLDERS' EQUITY</t>
  </si>
  <si>
    <t>Common stock &amp; additional paid-in capital</t>
  </si>
  <si>
    <t>Treasury stock</t>
  </si>
  <si>
    <t>Accumulated other comprehensive income</t>
  </si>
  <si>
    <t>Retained earnings / (deficit)</t>
  </si>
  <si>
    <t>Total stockholders' equity</t>
  </si>
  <si>
    <t>TOTAL LIABILITIES, MEZZANINE &amp; EQUITY</t>
  </si>
  <si>
    <t>BALANCE CHECK (assets less L+M+E; must be 0)</t>
  </si>
  <si>
    <t>SUPPORTING SCHEDULES</t>
  </si>
  <si>
    <t>Working capital drivers</t>
  </si>
  <si>
    <t xml:space="preserve">  Receivable days (on revenue)</t>
  </si>
  <si>
    <t>FY25 inflated by 4Q PepsiCo load-in; 30-Jun-26 = ~82 days on annualised 1H26 revenue.</t>
  </si>
  <si>
    <t xml:space="preserve">  Inventory days (on COGS)</t>
  </si>
  <si>
    <t xml:space="preserve">  Payable days (on COGS)</t>
  </si>
  <si>
    <t xml:space="preserve">  Prepaid &amp; other (% revenue)</t>
  </si>
  <si>
    <t xml:space="preserve">  Accrued expenses (% revenue)</t>
  </si>
  <si>
    <t xml:space="preserve">  Accrued promotional allowance (% revenue)</t>
  </si>
  <si>
    <t>Rises with DSD mix (billbacks); 30-Jun-26 $453mm.</t>
  </si>
  <si>
    <t>PP&amp;E roll-forward</t>
  </si>
  <si>
    <t xml:space="preserve">  Beginning PP&amp;E, net</t>
  </si>
  <si>
    <t xml:space="preserve">  Capex (% revenue)</t>
  </si>
  <si>
    <t>TTM Jun-26 capex $45.9mm (1.5% of revenue); asset-light co-packer model plus Big Beverages plant.</t>
  </si>
  <si>
    <t xml:space="preserve">  Capital expenditures</t>
  </si>
  <si>
    <t xml:space="preserve">  Depreciation (% beginning net PP&amp;E)</t>
  </si>
  <si>
    <t xml:space="preserve">  Depreciation</t>
  </si>
  <si>
    <t xml:space="preserve">  Ending PP&amp;E, net</t>
  </si>
  <si>
    <t>Amortisable intangibles (customer relationships)</t>
  </si>
  <si>
    <t xml:space="preserve">  Beginning balance</t>
  </si>
  <si>
    <t xml:space="preserve">  Scheduled amortisation (input)</t>
  </si>
  <si>
    <t>1H26A amortisation $12.1mm.</t>
  </si>
  <si>
    <t xml:space="preserve">  Amortisation</t>
  </si>
  <si>
    <t xml:space="preserve">  Ending balance</t>
  </si>
  <si>
    <t>Total D&amp;A</t>
  </si>
  <si>
    <t>Deferred other costs (PepsiCo; non-cash contra-revenue)</t>
  </si>
  <si>
    <t xml:space="preserve">  Annual amortisation (input)</t>
  </si>
  <si>
    <t>TTM Jun-26 non-cash amortisation $43.9mm; FY25 current portion $49.2mm.</t>
  </si>
  <si>
    <t>Deferred revenue (PepsiCo termination-fee reimbursements; amortised into revenue)</t>
  </si>
  <si>
    <t xml:space="preserve">  Cash reimbursements received</t>
  </si>
  <si>
    <t>Deferred revenue +$67mm in 1H26; up to $275mm total reimbursement.</t>
  </si>
  <si>
    <t>~17-year straight-line over A&amp;R US Distribution Agreement + legacy 2022 balance.</t>
  </si>
  <si>
    <t>Debt &amp; interest</t>
  </si>
  <si>
    <t xml:space="preserve">  Beginning term loan</t>
  </si>
  <si>
    <t xml:space="preserve">  Repayment (mandatory + optional)</t>
  </si>
  <si>
    <t>1% p.a. mandatory amortisation ($7mm); optional prepayments assumed from FY27.</t>
  </si>
  <si>
    <t xml:space="preserve">  Ending term loan</t>
  </si>
  <si>
    <t xml:space="preserve">  Interest rate on term loan</t>
  </si>
  <si>
    <t>SOFR-based TLB after Oct-25 repricing; 1H26 interest expense $23.4mm.</t>
  </si>
  <si>
    <t xml:space="preserve">  Interest expense</t>
  </si>
  <si>
    <t xml:space="preserve">  Yield on cash</t>
  </si>
  <si>
    <t>1H26 interest income $6.7mm.</t>
  </si>
  <si>
    <t>Share count &amp; capital return</t>
  </si>
  <si>
    <t xml:space="preserve">  Share repurchases ($mm)</t>
  </si>
  <si>
    <t>1H26A $124.5mm (2Q26 $100.4mm).</t>
  </si>
  <si>
    <t xml:space="preserve">  Assumed average repurchase price ($)</t>
  </si>
  <si>
    <t xml:space="preserve">  Beginning common shares outstanding (mm)</t>
  </si>
  <si>
    <t xml:space="preserve">  Shares issued (equity comp, mm)</t>
  </si>
  <si>
    <t xml:space="preserve">  Shares repurchased (mm)</t>
  </si>
  <si>
    <t xml:space="preserve">  Ending common shares outstanding (mm)</t>
  </si>
  <si>
    <t>253.34mm at 30-Jun-26.</t>
  </si>
  <si>
    <t xml:space="preserve">  Average common shares (mm)</t>
  </si>
  <si>
    <t>Convertible preferred (PepsiCo)</t>
  </si>
  <si>
    <t xml:space="preserve">  Series A stated value ($mm)</t>
  </si>
  <si>
    <t xml:space="preserve">  Series B stated value ($mm)</t>
  </si>
  <si>
    <t xml:space="preserve">  Dividend rate</t>
  </si>
  <si>
    <t>2Q26 preferred dividends $14.1mm (~$56.6mm annualised).</t>
  </si>
  <si>
    <t xml:space="preserve">  Preferred dividends ($mm)</t>
  </si>
  <si>
    <t xml:space="preserve">  Series A as-converted shares (mm)</t>
  </si>
  <si>
    <t>5 pre-split common per preferred = 15 post 3:1 split.</t>
  </si>
  <si>
    <t xml:space="preserve">  Series B as-converted shares (mm)</t>
  </si>
  <si>
    <t>11,304,348 shares per 8-K (Aug-2025).</t>
  </si>
  <si>
    <t xml:space="preserve">  Preferred participation share</t>
  </si>
  <si>
    <t>Sources: FY2025 10-K and 4Q25 release balance sheets; 2Q26 10-Q; FY2021-FY2023 standardized balances (S&amp;P Global via stockanalysis.com) reconciled to 10-K totals.</t>
  </si>
  <si>
    <t>Celsius Holdings, Inc. (NASDAQ: CELH) – Scenarios (Bull / Base / Bear)</t>
  </si>
  <si>
    <t>Scenario selector (1 = Bull, 2 = Base, 3 = Bear) ►</t>
  </si>
  <si>
    <t>SCENARIO DRIVERS  (blue = inputs; the "Live" row feeds the model via the selector in C4)</t>
  </si>
  <si>
    <t>CELSIUS brand – North America revenue growth</t>
  </si>
  <si>
    <t xml:space="preserve">   Bull</t>
  </si>
  <si>
    <t xml:space="preserve">   Base</t>
  </si>
  <si>
    <t>FY26 column = 2H26E vs 2H25A growth (1H26 actual locked in); FY27+ = annual growth</t>
  </si>
  <si>
    <t xml:space="preserve">   Bear</t>
  </si>
  <si>
    <t xml:space="preserve">   Live (selected case)</t>
  </si>
  <si>
    <t>Alani Nu revenue growth</t>
  </si>
  <si>
    <t>FY26 column = 2H26E vs 2H25A growth (2H25 included PepsiCo load-in); FY27+ = annual growth</t>
  </si>
  <si>
    <t>Rockstar Energy revenue growth</t>
  </si>
  <si>
    <t>FY26 column = 2H26E vs 1H26A sequential change; FY27+ = annual growth (brand in retail decline)</t>
  </si>
  <si>
    <t>International growth multiplier (x base regional growth)</t>
  </si>
  <si>
    <t>Scales the regional growth inputs on the Revenue Model (Europe / APAC / Other)</t>
  </si>
  <si>
    <t>Gross margin (ex one-time inventory step-up)</t>
  </si>
  <si>
    <t>1H26A 48.2%; mgmt targets low-50s as integration/cost-down and price-pack mix mature; aluminium is the swing factor</t>
  </si>
  <si>
    <t>Sales &amp; marketing (% of revenue)</t>
  </si>
  <si>
    <t>1H26A 20.8% (2Q26 22.2%); FY25A 21.8%; FY24A 25.9%</t>
  </si>
  <si>
    <t>G&amp;A ex one-offs (% of revenue)</t>
  </si>
  <si>
    <t>1H26A adjusted G&amp;A 6.7%; FY25A 7.5%; FY24A 8.0%</t>
  </si>
  <si>
    <t>Historical reference values (green, cols C–F) shown on Base rows.</t>
  </si>
  <si>
    <t>KEY ASSUMPTIONS BY CASE</t>
  </si>
  <si>
    <t>Assumption</t>
  </si>
  <si>
    <t>Bull</t>
  </si>
  <si>
    <t>Base</t>
  </si>
  <si>
    <t>Bear</t>
  </si>
  <si>
    <t>Live</t>
  </si>
  <si>
    <t>CELSIUS NA growth – 2H26E y/y</t>
  </si>
  <si>
    <t>CELSIUS NA growth – FY27E-30E average</t>
  </si>
  <si>
    <t>Alani Nu growth – 2H26E y/y</t>
  </si>
  <si>
    <t>Alani Nu growth – FY27E-30E average</t>
  </si>
  <si>
    <t>Rockstar growth – FY27E-30E average</t>
  </si>
  <si>
    <t>International growth multiplier</t>
  </si>
  <si>
    <t>Gross margin FY30E</t>
  </si>
  <si>
    <t>S&amp;M % revenue FY30E</t>
  </si>
  <si>
    <t>G&amp;A % revenue FY30E</t>
  </si>
  <si>
    <t>Non-scenario assumptions (capex 1.4–1.5% of revenue, 23% tax, working-capital days, buybacks) are held constant across cases.</t>
  </si>
  <si>
    <t>SCENARIO OUTPUTS</t>
  </si>
  <si>
    <t>Metric</t>
  </si>
  <si>
    <t>Live (selected)</t>
  </si>
  <si>
    <t>FY26E revenue</t>
  </si>
  <si>
    <t>FY27E revenue</t>
  </si>
  <si>
    <t>FY30E revenue</t>
  </si>
  <si>
    <t>Revenue CAGR FY25A-FY30E</t>
  </si>
  <si>
    <t>FY30E gross margin</t>
  </si>
  <si>
    <t>FY30E adjusted EBITDA</t>
  </si>
  <si>
    <t>FY30E adjusted EBITDA margin</t>
  </si>
  <si>
    <t>FY30E EBIT</t>
  </si>
  <si>
    <t>FY30E net income</t>
  </si>
  <si>
    <t>FY26E adjusted diluted EPS</t>
  </si>
  <si>
    <t>FY27E adjusted diluted EPS</t>
  </si>
  <si>
    <t>FY30E GAAP diluted EPS</t>
  </si>
  <si>
    <t>FY30E free cash flow</t>
  </si>
  <si>
    <t>FY30E FCF margin</t>
  </si>
  <si>
    <t>FY30E unlevered FCF</t>
  </si>
  <si>
    <t>Cumulative UFCF FY26E-FY30E</t>
  </si>
  <si>
    <t>FY30E ending cash &amp; restricted cash</t>
  </si>
  <si>
    <t>Bull/Base/Bear columns are value snapshots from running the full model under each case (Excel cannot hold three live states at once); the Live column recalculates with the selector in C4.</t>
  </si>
  <si>
    <t>SCENARIO RATIONALE</t>
  </si>
  <si>
    <t>Bull: CELSIUS returns to mid/high-single-digit growth as SKU optimisation lands cold-vault space and Captaincy execution improves; Alani Nu sustains double-digit growth from PepsiCo DSD distribution gains; Rockstar stabilises; aluminium relief and price-pack architecture lift gross margin to ~52.5%.</t>
  </si>
  <si>
    <t>Base: CELSIUS stays soft through 2H26 (trade investment, club softness) then recovers to low/mid-single-digit growth; Alani Nu normalises from +12% to +7%; Rockstar declines ~3-5% a year; gross margin rebuilds to ~51% (mgmt "low 50s") with modest S&amp;M/G&amp;A leverage.</t>
  </si>
  <si>
    <t>Bear: CELSIUS share loss continues (FY27 -4%) as competition (Monster/Bang, Ghost, Alani cannibalisation) intensifies; Alani growth fades to low single digits; Rockstar declines 6-8% a year; commodity inflation and DSD billbacks cap gross margin near 49% while S&amp;M rises to ~22.5%.</t>
  </si>
  <si>
    <t>UNLEVERED FREE CASH FLOW BUILD ($mm)  – FY25A shown for reference</t>
  </si>
  <si>
    <t>Adjusted EBITDA</t>
  </si>
  <si>
    <t xml:space="preserve">  margin</t>
  </si>
  <si>
    <t>EBITDA (GAAP)</t>
  </si>
  <si>
    <t>EBIT (GAAP, after one-time items)</t>
  </si>
  <si>
    <t xml:space="preserve">  memo: one-time items included in EBIT</t>
  </si>
  <si>
    <t>Cash tax rate</t>
  </si>
  <si>
    <t>Normalised 23% applied to FY25A for comparability.</t>
  </si>
  <si>
    <t>Less: taxes on EBIT</t>
  </si>
  <si>
    <t>NOPAT</t>
  </si>
  <si>
    <t>Add: D&amp;A</t>
  </si>
  <si>
    <t>Add: non-cash amortisation of deferred other costs</t>
  </si>
  <si>
    <t>Contra-revenue amortisation of PepsiCo-related upfront consideration (no cash outflow).</t>
  </si>
  <si>
    <t>Less: capex</t>
  </si>
  <si>
    <t>Less: increase in net working capital</t>
  </si>
  <si>
    <t>Includes deferred-revenue reimbursements and distributor-fee payouts (FY25/26 distortions).</t>
  </si>
  <si>
    <t>UNLEVERED FREE CASH FLOW</t>
  </si>
  <si>
    <t xml:space="preserve">  UFCF margin</t>
  </si>
  <si>
    <t>UFCF ex one-time items (after tax)</t>
  </si>
  <si>
    <t>Normalised view; FY26E one-offs are mostly already paid in 1H26.</t>
  </si>
  <si>
    <t>Memo: SBC (not added back – treated as a real cost)</t>
  </si>
  <si>
    <t>Memo: share of FY26E UFCF already realised (1H26A)</t>
  </si>
  <si>
    <t>1H26A unlevered FCF (DCF tab) as a share of FY26E; removed before discounting.</t>
  </si>
  <si>
    <t>TERMINAL-YEAR METRICS (FY2030E)</t>
  </si>
  <si>
    <t>Revenue growth</t>
  </si>
  <si>
    <t>EBIT</t>
  </si>
  <si>
    <t>Unlevered FCF</t>
  </si>
  <si>
    <t>D&amp;A / capex</t>
  </si>
  <si>
    <t>CAPITALISATION &amp; MARKET DATA</t>
  </si>
  <si>
    <t>Share price ($, 12-Oct-2026 intraday)</t>
  </si>
  <si>
    <t>stockanalysis.com quote, 12-Oct-2026 1:48pm ET (close 8-Oct: $27.40).</t>
  </si>
  <si>
    <t>Common shares outstanding (mm)</t>
  </si>
  <si>
    <t>Latest filing-date count (30-Jun-26 balance sheet: 253.34mm).</t>
  </si>
  <si>
    <t>Equity market value – common ($mm)</t>
  </si>
  <si>
    <t>Term loan, carrying value ($mm, 30-Jun-26)</t>
  </si>
  <si>
    <t>2Q26 10-Q: $667.9mm long-term + $7.0mm current.</t>
  </si>
  <si>
    <t>Cash &amp; equivalents ($mm, 30-Jun-26)</t>
  </si>
  <si>
    <t>2Q26 release.</t>
  </si>
  <si>
    <t>Restricted cash ($mm, 30-Jun-26)</t>
  </si>
  <si>
    <t>Earmarked for distributor buyouts.</t>
  </si>
  <si>
    <t>Net debt / (cash) ($mm)</t>
  </si>
  <si>
    <t>Excludes restricted cash.</t>
  </si>
  <si>
    <t>Series A preferred – stated value ($mm)</t>
  </si>
  <si>
    <t>5% dividend; PepsiCo.</t>
  </si>
  <si>
    <t>Series A – as-converted shares (mm)</t>
  </si>
  <si>
    <t>Conversion price $25.00 (in the money at current price).</t>
  </si>
  <si>
    <t>Series A – conversion price ($)</t>
  </si>
  <si>
    <t>Series B preferred – stated value ($mm)</t>
  </si>
  <si>
    <t>Issued Aug-2025 to PepsiCo; ~5% dividend.</t>
  </si>
  <si>
    <t>Series B – as-converted shares (mm)</t>
  </si>
  <si>
    <t>11,304,348 shares (8-K, 28-Aug-2025).</t>
  </si>
  <si>
    <t>Series B – conversion price ($)</t>
  </si>
  <si>
    <t>Out of the money at current price -&gt; treat as $585mm claim unless value &gt; $51.75.</t>
  </si>
  <si>
    <t>Accrued distributor fees + contingent consideration ($mm, 30-Jun-26)</t>
  </si>
  <si>
    <t>Debt-like items remaining.</t>
  </si>
  <si>
    <t>Beta (5Y monthly)</t>
  </si>
  <si>
    <t>stockanalysis.com / S&amp;P Global. Peer (MNST, KDP, PEP, KO) relevered beta can be used as a cross-check.</t>
  </si>
  <si>
    <t>Consensus price target ($, 24 analysts)</t>
  </si>
  <si>
    <t>S&amp;P Global consensus as of 8-Oct-2026 (low $26, high $64).</t>
  </si>
  <si>
    <t>Consensus FY26E revenue ($mm)</t>
  </si>
  <si>
    <t>S&amp;P Global consensus.</t>
  </si>
  <si>
    <t>Consensus FY27E revenue ($mm)</t>
  </si>
  <si>
    <t>Consensus FY26E / FY27E adjusted EPS ($)</t>
  </si>
  <si>
    <t>1.43 / 1.73</t>
  </si>
  <si>
    <t>Model vs consensus FY26E revenue</t>
  </si>
  <si>
    <t>Model vs consensus FY27E revenue</t>
  </si>
  <si>
    <t>Notes: FY26E UFCF includes 1H26 actual cash flows and the payout of ~$264mm accrued distributor fees; the DCF values from the Oct-2026 valuation date using a stub period. Preferred stock is held by PepsiCo: treat Series A as converted if per-share value &gt; $25.00, Series B as a $585mm claim unless value &gt; $51.75.</t>
  </si>
  <si>
    <t>Celsius Holdings, Inc. (NASDAQ: CELH) – Discounted Cash Flow Valuation</t>
  </si>
  <si>
    <t>$mm except per share. Valuation date 13-Oct-2026; cash flows discounted to 30-Jun-2026 (last balance sheet) with mid-period convention, then rolled forward. Blue = input; black = formula; green = link.</t>
  </si>
  <si>
    <t>A. VALUATION TIMING</t>
  </si>
  <si>
    <t>Valuation date</t>
  </si>
  <si>
    <t>Last balance sheet date (2Q26 10-Q)</t>
  </si>
  <si>
    <t>Year fraction (balance sheet → valuation date)</t>
  </si>
  <si>
    <t>B. WEIGHTED AVERAGE COST OF CAPITAL</t>
  </si>
  <si>
    <t>Risk-free rate (10-yr US Treasury)</t>
  </si>
  <si>
    <t>5.19% on 12-Oct-2026 (Mortgage News Daily 10-yr quote; 9-Oct close 5.24%).</t>
  </si>
  <si>
    <t>Equity risk premium</t>
  </si>
  <si>
    <t>Mid-point of 4.5-5.5% range commonly used; implied ERP is compressed with Treasury yields above 5%.</t>
  </si>
  <si>
    <t>Levered beta</t>
  </si>
  <si>
    <t>5-yr monthly beta 1.00 (S&amp;P Global). Peer betas 0.2-0.8 (staples) argue lower; CELH stock volatility argues higher.</t>
  </si>
  <si>
    <t>Company-specific risk premium</t>
  </si>
  <si>
    <t>CELSIUS brand decline, ~60% revenue from PepsiCo, integration of two acquisitions, 12% short interest.</t>
  </si>
  <si>
    <t>Cost of equity (CAPM + premium)</t>
  </si>
  <si>
    <t>Pre-tax cost of debt (term loan)</t>
  </si>
  <si>
    <t>SOFR + spread after Oct-2025 repricing (model input).</t>
  </si>
  <si>
    <t>Tax rate</t>
  </si>
  <si>
    <t>After-tax cost of debt</t>
  </si>
  <si>
    <t>Cost of convertible preferred</t>
  </si>
  <si>
    <t>5% non-deductible PIK/cash dividend plus value of conversion option; senior to common.</t>
  </si>
  <si>
    <t>Capital structure (market values)</t>
  </si>
  <si>
    <t>$mm</t>
  </si>
  <si>
    <t>Weight</t>
  </si>
  <si>
    <t>Cost</t>
  </si>
  <si>
    <t>Contribution</t>
  </si>
  <si>
    <t>Common equity (price x shares)</t>
  </si>
  <si>
    <t>Convertible preferred (Series A at max(stated, as-converted); Series B at stated)</t>
  </si>
  <si>
    <t>Debt (term loan)</t>
  </si>
  <si>
    <t>Total capital / WACC</t>
  </si>
  <si>
    <t>WACC applied (rounded to 0.1%)</t>
  </si>
  <si>
    <t>Sanity range for a consumer-staples growth company with 5%+ risk-free rate: 9-11%.</t>
  </si>
  <si>
    <t>Terminal growth rate (perpetuity)</t>
  </si>
  <si>
    <t>Energy drinks have grown high-single digits; 3.0% ≈ long-run nominal GDP. Sensitised 2.0-4.0%.</t>
  </si>
  <si>
    <t>Exit multiple (EV / FY30E adjusted EBITDA)</t>
  </si>
  <si>
    <t>≈ current peer median LTM EV/EBITDA (11.1x ex-KDP; PepsiCo 11.1x): by FY30 CELH is a mid-single-digit grower. Implies ~3.7% perpetual growth. Cross-check only.</t>
  </si>
  <si>
    <t>C. 1H26 ACTUAL UNLEVERED FCF (already realised – removed from FY26E)</t>
  </si>
  <si>
    <t>Cash from operations, 1H26A</t>
  </si>
  <si>
    <t>TTM Jun-26 CFO $508.6mm less FY25 $359.4mm plus 1H25 $147.1mm (1Q25 $103.4mm + 2Q25 $43.7mm). Includes distributor buyout payments.</t>
  </si>
  <si>
    <t>Capital expenditures, 1H26A</t>
  </si>
  <si>
    <t>TTM Jun-26 capex $45.9mm less FY25 $36.1mm plus 1H25 $15.2mm.</t>
  </si>
  <si>
    <t>Net interest expense, 1H26A</t>
  </si>
  <si>
    <t>2Q26 release: interest expense $23.4mm less interest income $6.7mm.</t>
  </si>
  <si>
    <t>Unlevered FCF realised in 1H26A</t>
  </si>
  <si>
    <t>D. UNLEVERED FREE CASH FLOW &amp; PRESENT VALUE</t>
  </si>
  <si>
    <t>FY27E</t>
  </si>
  <si>
    <t>FY28E</t>
  </si>
  <si>
    <t>FY29E</t>
  </si>
  <si>
    <t>FY30E</t>
  </si>
  <si>
    <t>Revenue (full fiscal year)</t>
  </si>
  <si>
    <t>Adjusted EBITDA (full fiscal year)</t>
  </si>
  <si>
    <t>Unlevered FCF (full fiscal year, from DCF Inputs)</t>
  </si>
  <si>
    <t>Less: realised in 1H26A</t>
  </si>
  <si>
    <t>Unlevered FCF to be discounted</t>
  </si>
  <si>
    <t>Discount period (years from 30-Jun-26, mid-period)</t>
  </si>
  <si>
    <t>2H26 cash flows centred on 30-Sep-26; full years centred on 30-Jun of each year.</t>
  </si>
  <si>
    <t>Discount factor</t>
  </si>
  <si>
    <t>Present value of UFCF</t>
  </si>
  <si>
    <t xml:space="preserve">  UFCF margin (full year)</t>
  </si>
  <si>
    <t>E. TERMINAL VALUE</t>
  </si>
  <si>
    <t>Perpetuity</t>
  </si>
  <si>
    <t>Exit multiple</t>
  </si>
  <si>
    <t>Terminal-year metric (FY30E UFCF / adjusted EBITDA)</t>
  </si>
  <si>
    <t>Assumption (growth / multiple)</t>
  </si>
  <si>
    <t>Terminal value at end-FY30</t>
  </si>
  <si>
    <t>Discount period (31-Dec-30 from 30-Jun-26)</t>
  </si>
  <si>
    <t>Present value of terminal value</t>
  </si>
  <si>
    <t>Implied exit multiple (perpetuity) / implied growth (exit)</t>
  </si>
  <si>
    <t>F. ENTERPRISE VALUE TO VALUE PER SHARE</t>
  </si>
  <si>
    <t>Sum of PV of UFCF (2H26E-FY30E)</t>
  </si>
  <si>
    <t>PV of terminal value</t>
  </si>
  <si>
    <t>Enterprise value at 30-Jun-26</t>
  </si>
  <si>
    <t xml:space="preserve">  Terminal value % of EV</t>
  </si>
  <si>
    <t>Roll-forward factor to valuation date (1+WACC)^t</t>
  </si>
  <si>
    <t>Enterprise value at valuation date</t>
  </si>
  <si>
    <t>Plus: cash &amp; equivalents (30-Jun-26)</t>
  </si>
  <si>
    <t>Restricted cash ($1.9mm) excluded – earmarked for distributor buyouts.</t>
  </si>
  <si>
    <t>Less: term loan</t>
  </si>
  <si>
    <t>Less: accrued distributor fees &amp; other debt-like items</t>
  </si>
  <si>
    <t>Equity value attributable to common + preferred</t>
  </si>
  <si>
    <t>Common shares outstanding + dilutive RSUs/options (mm)</t>
  </si>
  <si>
    <t>Series A as-converted shares (mm)</t>
  </si>
  <si>
    <t>Series A claim if not converted ($mm)</t>
  </si>
  <si>
    <t>Series A conversion price ($)</t>
  </si>
  <si>
    <t>Series B as-converted shares (mm)</t>
  </si>
  <si>
    <t>Series B claim if not converted ($mm)</t>
  </si>
  <si>
    <t>Series B conversion price ($)</t>
  </si>
  <si>
    <t>DCF VALUE PER SHARE ($)</t>
  </si>
  <si>
    <t xml:space="preserve">  Preferred treatment</t>
  </si>
  <si>
    <t>Current share price ($)</t>
  </si>
  <si>
    <t>Upside / (downside)</t>
  </si>
  <si>
    <t>Implied EV / LTM adjusted EBITDA (Jun-26 LTM)</t>
  </si>
  <si>
    <t>Implied EV / FY27E adjusted EBITDA</t>
  </si>
  <si>
    <t>Base-case DCF value uses the perpetuity-growth method; exit-multiple method shown as cross-check. Equity value includes the PepsiCo convertible preferred: each series is treated as converted only when value per share exceeds its conversion price, otherwise as a fixed claim at stated value.</t>
  </si>
  <si>
    <t>Celsius Holdings, Inc. (NASDAQ: CELH) – DCF Sensitivity Analysis</t>
  </si>
  <si>
    <t>Value per share ($) unless stated. Every cell is a live formula off the DCF tab; base case outlined. Heatmap: red = low, green = high.</t>
  </si>
  <si>
    <t>TABLE 1 – WACC vs TERMINAL GROWTH (perpetuity method)</t>
  </si>
  <si>
    <t>Rows: WACC   |   Columns: terminal growth rate</t>
  </si>
  <si>
    <t>$ / share</t>
  </si>
  <si>
    <t>EV at 30-Jun-26 ($mm)</t>
  </si>
  <si>
    <t>TABLE 2 – WACC vs EXIT MULTIPLE (EV / FY30E adjusted EBITDA)</t>
  </si>
  <si>
    <t>Rows: WACC   |   Columns: exit multiple</t>
  </si>
  <si>
    <t>TABLE 3 – TERMINAL GROWTH vs TERMINAL-YEAR UFCF MARGIN (base WACC)</t>
  </si>
  <si>
    <t>Rows: terminal growth   |   Columns: FY30E UFCF margin (terminal cash flow only)</t>
  </si>
  <si>
    <t>TABLE 4 – DCF VALUE BY OPERATING SCENARIO (base WACC and terminal growth)</t>
  </si>
  <si>
    <t>DCF value per share – perpetuity ($)</t>
  </si>
  <si>
    <t>DCF value per share – exit multiple ($)</t>
  </si>
  <si>
    <t>Bull/Base/Bear values are snapshots from running the full model under each Scenarios-tab case (Excel holds one live state); "Live" follows Scenarios!C4.</t>
  </si>
  <si>
    <t>Celsius Holdings, Inc. (NASDAQ: CELH) – Comparable Companies &amp; Precedent Transactions</t>
  </si>
  <si>
    <t>Market data from stockanalysis.com (S&amp;P Global) pulled 13-Oct-2026; prices are latest available closes (MNST/KDP/PEP/KO 12-Oct; COCO 8-Oct; BRBR/PRMB 9-Oct; SMPL 6-Oct). NTM = blend of current and next fiscal-year consensus by months remaining.</t>
  </si>
  <si>
    <t>A. TRADING COMPARABLES – INPUTS (blue) AND MULTIPLES</t>
  </si>
  <si>
    <t>Stats helper (blank = excluded)</t>
  </si>
  <si>
    <t>Company</t>
  </si>
  <si>
    <t>Ticker</t>
  </si>
  <si>
    <t>Price ($)</t>
  </si>
  <si>
    <t>Mkt cap ($bn)</t>
  </si>
  <si>
    <t>EV ($bn)</t>
  </si>
  <si>
    <t>LTM rev ($mm)</t>
  </si>
  <si>
    <t>LTM EBITDA ($mm)</t>
  </si>
  <si>
    <t>Rev FY1 ($mm)</t>
  </si>
  <si>
    <t>Rev FY2 ($mm)</t>
  </si>
  <si>
    <t>EPS FY1 ($)</t>
  </si>
  <si>
    <t>EPS FY2 ($)</t>
  </si>
  <si>
    <t>FY1 wt in NTM</t>
  </si>
  <si>
    <t>FYE</t>
  </si>
  <si>
    <t>Incl.</t>
  </si>
  <si>
    <t>Incl. LTM</t>
  </si>
  <si>
    <t>EV/Rev LTM</t>
  </si>
  <si>
    <t>EV/Rev NTM</t>
  </si>
  <si>
    <t>EV/EBITDA LTM</t>
  </si>
  <si>
    <t>P/E NTM</t>
  </si>
  <si>
    <t>NTM rev growth</t>
  </si>
  <si>
    <t>EBITDA mgn LTM</t>
  </si>
  <si>
    <t>Monster Beverage</t>
  </si>
  <si>
    <t>MNST</t>
  </si>
  <si>
    <t>Dec</t>
  </si>
  <si>
    <t>Closest pure-play energy peer; #1 US energy share; net cash.</t>
  </si>
  <si>
    <t>Keurig Dr Pepper</t>
  </si>
  <si>
    <t>KDP</t>
  </si>
  <si>
    <t>Owns GHOST energy; FY26 consensus consolidates JDE Peet's – LTM EBITDA only partly reflects deal, so LTM multiples excluded from stats.</t>
  </si>
  <si>
    <t>PepsiCo</t>
  </si>
  <si>
    <t>PEP</t>
  </si>
  <si>
    <t>CELH distributor, Captaincy partner and preferred holder; scaled beverage/snacks benchmark.</t>
  </si>
  <si>
    <t>Coca-Cola</t>
  </si>
  <si>
    <t>KO</t>
  </si>
  <si>
    <t>Global beverage benchmark; owns BodyArmor; Monster distribution partner.</t>
  </si>
  <si>
    <t>Vita Coco</t>
  </si>
  <si>
    <t>COCO</t>
  </si>
  <si>
    <t>High-growth better-for-you beverage brand, asset-light co-packer model.</t>
  </si>
  <si>
    <t>BellRing Brands</t>
  </si>
  <si>
    <t>BRBR</t>
  </si>
  <si>
    <t>Sep</t>
  </si>
  <si>
    <t>Functional nutrition (protein shakes); de-rated on growth/competition. FY26 (Sep) complete → NTM = FY27.</t>
  </si>
  <si>
    <t>Primo Brands</t>
  </si>
  <si>
    <t>PRMB</t>
  </si>
  <si>
    <t>US beverage (water) with DSD/retail exposure; levered.</t>
  </si>
  <si>
    <t>Simply Good Foods</t>
  </si>
  <si>
    <t>SMPL</t>
  </si>
  <si>
    <t>Aug</t>
  </si>
  <si>
    <t>Better-for-you nutrition (Atkins, Quest); declining sales. FY26 (Aug) complete → NTM = FY27.</t>
  </si>
  <si>
    <t>STATISTICAL SUMMARY (peers; KDP excluded from LTM metrics)</t>
  </si>
  <si>
    <t>Maximum</t>
  </si>
  <si>
    <t>75th percentile</t>
  </si>
  <si>
    <t>Median</t>
  </si>
  <si>
    <t>25th percentile</t>
  </si>
  <si>
    <t>Minimum</t>
  </si>
  <si>
    <t>Celsius Holdings (at current price)</t>
  </si>
  <si>
    <t>CELH</t>
  </si>
  <si>
    <t>EV includes PepsiCo preferred (Series A at as-converted market value, Series B at $585mm stated) and debt-like items. LTM to Jun-26: revenue $2,515.3 + $1,600.5 - $1,068.5mm; company adjusted EBITDA $619.6 + $379.6 - $280.0mm. FY1/FY2 and EPS = model base case.</t>
  </si>
  <si>
    <t xml:space="preserve">  CELH premium / (discount) to peer median</t>
  </si>
  <si>
    <t>B. IMPLIED CELH VALUE PER SHARE FROM PEER MULTIPLES</t>
  </si>
  <si>
    <t>Method</t>
  </si>
  <si>
    <t>CELH metric</t>
  </si>
  <si>
    <t>25th</t>
  </si>
  <si>
    <t>75th</t>
  </si>
  <si>
    <t>$ @ 25th</t>
  </si>
  <si>
    <t>$ @ median</t>
  </si>
  <si>
    <t>$ @ 75th</t>
  </si>
  <si>
    <t>EV / LTM EBITDA</t>
  </si>
  <si>
    <t>EV / NTM revenue</t>
  </si>
  <si>
    <t>P / NTM EPS</t>
  </si>
  <si>
    <t>Peer set is bimodal: scaled/high-quality brands (MNST, KO, COCO) at 22-28x EBITDA vs de-rated or levered names (BRBR, SMPL, PRMB) at 5-9x. Raw percentiles therefore give a very wide range; the selected range below anchors on the median.</t>
  </si>
  <si>
    <t>C. SELECTED MULTIPLE RANGE FOR CELH (analyst judgement)</t>
  </si>
  <si>
    <t>Low</t>
  </si>
  <si>
    <t>High</t>
  </si>
  <si>
    <t>$ Low</t>
  </si>
  <si>
    <t>$ Base</t>
  </si>
  <si>
    <t>$ High</t>
  </si>
  <si>
    <t>EV / LTM adjusted EBITDA</t>
  </si>
  <si>
    <t>P / NTM adjusted EPS</t>
  </si>
  <si>
    <t>Trading comps value per share (average of the two methods)</t>
  </si>
  <si>
    <t>Rationale: base-case CELH grows revenue ~7% a year (FY26-30E) with ~24-26% adjusted EBITDA margins – faster than PEP/KO/KDP but well below MNST, and with</t>
  </si>
  <si>
    <t>weaker quality signals (flagship CELSIUS brand shrinking in 2026, ~60% of revenue through one customer that is also its largest preferred holder).</t>
  </si>
  <si>
    <t>We apply a ~20% premium to the peer medians (11.1x LTM EBITDA ex-KDP; 14.0x NTM P/E) for faster growth (6.8% vs 3.0% NTM) and higher margins</t>
  </si>
  <si>
    <t>(23.6% vs 19.5% LTM EBITDA): base 13.5x EBITDA / 17x P/E, with ±2.5x / ±3x bands.</t>
  </si>
  <si>
    <t>well below MNST (28x EBITDA / 36x P/E) where CELH traded before its 2024-26 de-rating.</t>
  </si>
  <si>
    <t>D. PRECEDENT TRANSACTIONS – FUNCTIONAL / BETTER-FOR-YOU BEVERAGES</t>
  </si>
  <si>
    <t>Target / acquirer</t>
  </si>
  <si>
    <t>Date</t>
  </si>
  <si>
    <t>EV ($mm)</t>
  </si>
  <si>
    <t>LTM sales ($mm)</t>
  </si>
  <si>
    <t>EV / Sales</t>
  </si>
  <si>
    <t>EV / EBITDA</t>
  </si>
  <si>
    <t>Alani Nu / Celsius Holdings</t>
  </si>
  <si>
    <t>Feb-25</t>
  </si>
  <si>
    <t>$1.8bn incl. ~$150mm tax assets; $1.65bn net = 2.8x 2024 sales, 19.0x 2024 adj. EBITDA ($87.0mm), 12.0x with $50mm synergies. Celsius 8-K, 20-Feb-2025.</t>
  </si>
  <si>
    <t>BodyArmor / Coca-Cola (remaining 85%)</t>
  </si>
  <si>
    <t>Nov-21</t>
  </si>
  <si>
    <t>n.a.</t>
  </si>
  <si>
    <t>$5.6bn for 85%; Goldman Sachs estimated total valuation $6.6bn = 6.7x sales (BevNET, 1-Nov-2021). Peak-cycle, high-growth sports drink.</t>
  </si>
  <si>
    <t>Poppi / PepsiCo</t>
  </si>
  <si>
    <t>Mar-25</t>
  </si>
  <si>
    <t>$1.95bn incl. $300mm tax benefits ($1.65bn net). Company revenue undisclosed (US retail sales ~$360mm) – multiple not comparable.</t>
  </si>
  <si>
    <t>GHOST (60%) / Keurig Dr Pepper</t>
  </si>
  <si>
    <t>Oct-24</t>
  </si>
  <si>
    <t>$990mm for 60% (implied ~$1.65bn for 100%), remaining 40% in 2028; plus up to $250mm distributor transition. Sales undisclosed.</t>
  </si>
  <si>
    <t>Rockstar Energy / PepsiCo</t>
  </si>
  <si>
    <t>Mar-20</t>
  </si>
  <si>
    <t>$3.85bn upfront plus contingent consideration; Rockstar was a declining brand. Sales undisclosed.</t>
  </si>
  <si>
    <t>Median EV / Sales (deals with disclosed sales)</t>
  </si>
  <si>
    <t>CELH LTM revenue ($mm) / current EV / LTM sales</t>
  </si>
  <si>
    <t>Selected precedent range (EV / LTM sales)</t>
  </si>
  <si>
    <t>EV / LTM sales (control value)</t>
  </si>
  <si>
    <t>Rationale: Alani Nu (2.8x, same category, same buyer, 2025) is the most relevant marker and sets the low end; BodyArmor (6.7x) reflects 2021 peak</t>
  </si>
  <si>
    <t>pricing for a 40%+ grower and is not achievable for a ~7% grower. Base 3.4x embeds a ~20% control premium over the current 2.8x trading EV/sales.</t>
  </si>
  <si>
    <t>PepsiCo (distribution partner, ~12% as-converted holder via preferred) is the logical strategic acquirer, but we assign only 10% weight given no signal.</t>
  </si>
  <si>
    <t>Celsius Holdings, Inc. (NASDAQ: CELH) – Valuation Summary, Price Target &amp; Rating</t>
  </si>
  <si>
    <t>$ per share unless stated. Price target = weighted blend of DCF, trading comps and precedent transactions (12-month view, not rolled forward).</t>
  </si>
  <si>
    <t>A. VALUATION BLEND</t>
  </si>
  <si>
    <t>Weighted</t>
  </si>
  <si>
    <t>DCF – perpetuity growth (WACC ±0.5%, g ±0.5%)</t>
  </si>
  <si>
    <t>Primary method: captures integration margin rebuild and FCF conversion; TV ~70% of EV.</t>
  </si>
  <si>
    <t>Trading comparables (EV/EBITDA &amp; P/E, selected range)</t>
  </si>
  <si>
    <t>Market cross-check; peer set is bimodal so we use a judgement range around the median.</t>
  </si>
  <si>
    <t>Precedent transactions (EV / LTM sales)</t>
  </si>
  <si>
    <t>Includes control premium; low weight as no take-out signal.</t>
  </si>
  <si>
    <t>Weighted fair value</t>
  </si>
  <si>
    <t>B. PRICE TARGET &amp; RATING</t>
  </si>
  <si>
    <t>Current share price ($, 12-Oct-2026)</t>
  </si>
  <si>
    <t>12-month price target ($, rounded to $1)</t>
  </si>
  <si>
    <t>Upside / (downside) to target</t>
  </si>
  <si>
    <t>BUY threshold (upside above)</t>
  </si>
  <si>
    <t>SELL threshold (downside below)</t>
  </si>
  <si>
    <t>RATING</t>
  </si>
  <si>
    <t>Street consensus price target ($, 24 analysts)</t>
  </si>
  <si>
    <t>Our target vs street</t>
  </si>
  <si>
    <t>C. FOOTBALL FIELD DATA (for chart)</t>
  </si>
  <si>
    <t>Range</t>
  </si>
  <si>
    <t>Mid / base</t>
  </si>
  <si>
    <t>Bar length</t>
  </si>
  <si>
    <t>DCF – perpetuity (WACC ±0.5%, g ±0.5%)</t>
  </si>
  <si>
    <t>DCF – exit multiple (WACC ±0.5%, 9.5-12.5x)</t>
  </si>
  <si>
    <t>DCF – bear to bull operating scenario</t>
  </si>
  <si>
    <t>Trading comps – selected range</t>
  </si>
  <si>
    <t>Trading comps – EV/LTM EBITDA, peer 25th-75th</t>
  </si>
  <si>
    <t>Trading comps – P/NTM EPS, peer 25th-75th</t>
  </si>
  <si>
    <t>Precedent transactions (2.8-4.0x LTM sales)</t>
  </si>
  <si>
    <t>Street price targets (low-high)</t>
  </si>
  <si>
    <t>Street low/high from S&amp;P Global consensus (8-Oct-2026).</t>
  </si>
  <si>
    <t>Reference lines: current price</t>
  </si>
  <si>
    <t>Reference lines: price target</t>
  </si>
  <si>
    <t>D. SCENARIO-WEIGHTED VALUE</t>
  </si>
  <si>
    <t>Prob-wtd</t>
  </si>
  <si>
    <t>Probability</t>
  </si>
  <si>
    <t>FY27E adjusted diluted EPS ($)</t>
  </si>
  <si>
    <t>DCF value per share ($)</t>
  </si>
  <si>
    <t>Blended fair value per share ($)</t>
  </si>
  <si>
    <t xml:space="preserve">  Upside / (downside) vs current price (prob-weighted blended value)</t>
  </si>
  <si>
    <t>Bull/Base/Bear are snapshots from re-running the whole model under each Scenarios-tab case; comps/precedent methods re-price off each case's EPS. "Live" follows Scenarios!C4.</t>
  </si>
  <si>
    <t>E. SANITY CHECKS</t>
  </si>
  <si>
    <t>Check</t>
  </si>
  <si>
    <t>Value</t>
  </si>
  <si>
    <t>Guide</t>
  </si>
  <si>
    <t>Terminal value % of EV (perpetuity)</t>
  </si>
  <si>
    <t>&lt;70-75%; high because FY26-30 FCF is still ramping</t>
  </si>
  <si>
    <t>Implied exit multiple in perpetuity TV (x FY30E adj. EBITDA)</t>
  </si>
  <si>
    <t>vs peer median 11.1x LTM</t>
  </si>
  <si>
    <t>Implied perpetuity growth in exit-multiple TV</t>
  </si>
  <si>
    <t>2-4% reasonable</t>
  </si>
  <si>
    <t>WACC</t>
  </si>
  <si>
    <t>9-11% for this profile</t>
  </si>
  <si>
    <t>EV / LTM adjusted EBITDA at price target</t>
  </si>
  <si>
    <t>peer median 11.1x (ex-KDP); MNST 28x</t>
  </si>
  <si>
    <t>P / NTM adjusted EPS at price target</t>
  </si>
  <si>
    <t>peer median ~14x</t>
  </si>
  <si>
    <t>P / NTM adjusted EPS at current price</t>
  </si>
  <si>
    <t>peer median 14.0x</t>
  </si>
  <si>
    <t>Reverse DCF: perpetuity growth implied by current price</t>
  </si>
  <si>
    <t>base-case cash flows held; what the market discounts</t>
  </si>
  <si>
    <t>12-month implied return to target (no dividend)</t>
  </si>
  <si>
    <t>consistent with rating band</t>
  </si>
  <si>
    <t xml:space="preserve">Celsius Holdings, Inc. (NASDAQ: CELH) – DCF Inputs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</si>
</sst>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_);\(#,##0.0\);\–_)"/>
    <numFmt numFmtId="165" formatCode="0.0%_);\(0.0%\);\–_)"/>
    <numFmt numFmtId="166" formatCode="\$0.00_);&quot;($&quot;0.00\);\–_)"/>
    <numFmt numFmtId="167" formatCode="0.0_);\(0.0\);\–_)"/>
    <numFmt numFmtId="168" formatCode="\$#,##0.00_);&quot;($&quot;#,##0.00\);\–_)"/>
    <numFmt numFmtId="169" formatCode="0.00\x"/>
    <numFmt numFmtId="170" formatCode="dd\-mmm\-yyyy"/>
    <numFmt numFmtId="171" formatCode="0.000"/>
    <numFmt numFmtId="172" formatCode="0.0\x"/>
    <numFmt numFmtId="173" formatCode="0.0000"/>
  </numFmts>
  <fonts count="17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color rgb="FF1F3864"/>
      <name val="Arial"/>
      <family val="2"/>
    </font>
    <font>
      <i/>
      <sz val="9"/>
      <color rgb="FF595959"/>
      <name val="Arial"/>
      <family val="2"/>
    </font>
    <font>
      <b/>
      <sz val="10"/>
      <name val="Arial"/>
      <family val="2"/>
    </font>
    <font>
      <b/>
      <sz val="10"/>
      <color rgb="FF008000"/>
      <name val="Arial"/>
      <family val="2"/>
    </font>
    <font>
      <b/>
      <sz val="10"/>
      <color rgb="FFFFFFFF"/>
      <name val="Arial"/>
      <family val="2"/>
    </font>
    <font>
      <b/>
      <sz val="10"/>
      <color rgb="FF1F3864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10"/>
      <color rgb="FF008000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  <font>
      <b/>
      <sz val="11"/>
      <color rgb="FF0000FF"/>
      <name val="Arial"/>
      <family val="2"/>
    </font>
    <font>
      <i/>
      <sz val="9"/>
      <name val="Arial"/>
      <family val="2"/>
    </font>
    <font>
      <sz val="9"/>
      <color rgb="FF80808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F5597"/>
        <bgColor rgb="FF1F3864"/>
      </patternFill>
    </fill>
    <fill>
      <patternFill patternType="solid">
        <fgColor rgb="FFD9E1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4" borderId="0" xfId="0" applyFont="1" applyFill="1"/>
    <xf numFmtId="0" fontId="0" fillId="4" borderId="0" xfId="0" applyFill="1"/>
    <xf numFmtId="0" fontId="8" fillId="0" borderId="0" xfId="0" applyFont="1"/>
    <xf numFmtId="164" fontId="9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0" fontId="4" fillId="0" borderId="1" xfId="0" applyFont="1" applyBorder="1"/>
    <xf numFmtId="164" fontId="12" fillId="0" borderId="1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168" fontId="9" fillId="0" borderId="0" xfId="0" applyNumberFormat="1" applyFont="1" applyAlignment="1">
      <alignment horizontal="right"/>
    </xf>
    <xf numFmtId="0" fontId="14" fillId="5" borderId="0" xfId="0" applyFont="1" applyFill="1" applyAlignment="1">
      <alignment horizontal="center"/>
    </xf>
    <xf numFmtId="165" fontId="9" fillId="5" borderId="0" xfId="0" applyNumberFormat="1" applyFont="1" applyFill="1" applyAlignment="1">
      <alignment horizontal="right"/>
    </xf>
    <xf numFmtId="169" fontId="9" fillId="5" borderId="0" xfId="0" applyNumberFormat="1" applyFont="1" applyFill="1" applyAlignment="1">
      <alignment horizontal="right"/>
    </xf>
    <xf numFmtId="169" fontId="12" fillId="0" borderId="0" xfId="0" applyNumberFormat="1" applyFont="1" applyAlignment="1">
      <alignment horizontal="right"/>
    </xf>
    <xf numFmtId="0" fontId="6" fillId="2" borderId="0" xfId="0" applyFont="1" applyFill="1"/>
    <xf numFmtId="169" fontId="10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/>
    </xf>
    <xf numFmtId="0" fontId="7" fillId="0" borderId="0" xfId="0" applyFont="1"/>
    <xf numFmtId="0" fontId="0" fillId="0" borderId="1" xfId="0" applyBorder="1"/>
    <xf numFmtId="168" fontId="10" fillId="0" borderId="0" xfId="0" applyNumberFormat="1" applyFont="1" applyAlignment="1">
      <alignment horizontal="right"/>
    </xf>
    <xf numFmtId="169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70" fontId="9" fillId="0" borderId="0" xfId="0" applyNumberFormat="1" applyFont="1" applyAlignment="1">
      <alignment horizontal="right"/>
    </xf>
    <xf numFmtId="171" fontId="10" fillId="0" borderId="0" xfId="0" applyNumberFormat="1" applyFont="1" applyAlignment="1">
      <alignment horizontal="right"/>
    </xf>
    <xf numFmtId="169" fontId="11" fillId="0" borderId="0" xfId="0" applyNumberFormat="1" applyFont="1" applyAlignment="1">
      <alignment horizontal="right"/>
    </xf>
    <xf numFmtId="0" fontId="6" fillId="2" borderId="0" xfId="0" applyFont="1" applyFill="1" applyAlignment="1">
      <alignment horizontal="center" wrapText="1"/>
    </xf>
    <xf numFmtId="165" fontId="12" fillId="5" borderId="0" xfId="0" applyNumberFormat="1" applyFont="1" applyFill="1" applyAlignment="1">
      <alignment horizontal="right"/>
    </xf>
    <xf numFmtId="172" fontId="9" fillId="5" borderId="0" xfId="0" applyNumberFormat="1" applyFont="1" applyFill="1" applyAlignment="1">
      <alignment horizontal="right"/>
    </xf>
    <xf numFmtId="2" fontId="9" fillId="0" borderId="0" xfId="0" applyNumberFormat="1" applyFont="1" applyAlignment="1">
      <alignment horizontal="right"/>
    </xf>
    <xf numFmtId="173" fontId="10" fillId="0" borderId="0" xfId="0" applyNumberFormat="1" applyFont="1" applyAlignment="1">
      <alignment horizontal="right"/>
    </xf>
    <xf numFmtId="172" fontId="10" fillId="0" borderId="0" xfId="0" applyNumberFormat="1" applyFont="1" applyAlignment="1">
      <alignment horizontal="right"/>
    </xf>
    <xf numFmtId="168" fontId="11" fillId="0" borderId="0" xfId="0" applyNumberFormat="1" applyFont="1" applyAlignment="1">
      <alignment horizontal="right"/>
    </xf>
    <xf numFmtId="168" fontId="5" fillId="5" borderId="0" xfId="0" applyNumberFormat="1" applyFont="1" applyFill="1" applyAlignment="1">
      <alignment horizontal="right"/>
    </xf>
    <xf numFmtId="0" fontId="15" fillId="0" borderId="0" xfId="0" applyFont="1" applyAlignment="1">
      <alignment horizontal="right"/>
    </xf>
    <xf numFmtId="172" fontId="11" fillId="0" borderId="0" xfId="0" applyNumberFormat="1" applyFont="1" applyAlignment="1">
      <alignment horizontal="right"/>
    </xf>
    <xf numFmtId="165" fontId="5" fillId="4" borderId="0" xfId="0" applyNumberFormat="1" applyFont="1" applyFill="1" applyAlignment="1">
      <alignment horizontal="right"/>
    </xf>
    <xf numFmtId="165" fontId="3" fillId="0" borderId="0" xfId="0" applyNumberFormat="1" applyFont="1"/>
    <xf numFmtId="164" fontId="16" fillId="0" borderId="0" xfId="0" applyNumberFormat="1" applyFont="1"/>
    <xf numFmtId="168" fontId="4" fillId="0" borderId="2" xfId="0" applyNumberFormat="1" applyFont="1" applyBorder="1" applyAlignment="1">
      <alignment horizontal="right"/>
    </xf>
    <xf numFmtId="172" fontId="5" fillId="4" borderId="0" xfId="0" applyNumberFormat="1" applyFont="1" applyFill="1" applyAlignment="1">
      <alignment horizontal="right"/>
    </xf>
    <xf numFmtId="172" fontId="3" fillId="0" borderId="0" xfId="0" applyNumberFormat="1" applyFont="1"/>
    <xf numFmtId="168" fontId="5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2" fontId="16" fillId="0" borderId="0" xfId="0" applyNumberFormat="1" applyFont="1"/>
    <xf numFmtId="0" fontId="4" fillId="6" borderId="0" xfId="0" applyFont="1" applyFill="1"/>
    <xf numFmtId="0" fontId="0" fillId="6" borderId="0" xfId="0" applyFill="1"/>
    <xf numFmtId="172" fontId="10" fillId="6" borderId="0" xfId="0" applyNumberFormat="1" applyFont="1" applyFill="1" applyAlignment="1">
      <alignment horizontal="right"/>
    </xf>
    <xf numFmtId="165" fontId="10" fillId="6" borderId="0" xfId="0" applyNumberFormat="1" applyFont="1" applyFill="1" applyAlignment="1">
      <alignment horizontal="right"/>
    </xf>
    <xf numFmtId="172" fontId="12" fillId="6" borderId="0" xfId="0" applyNumberFormat="1" applyFont="1" applyFill="1" applyAlignment="1">
      <alignment horizontal="right"/>
    </xf>
    <xf numFmtId="165" fontId="12" fillId="6" borderId="0" xfId="0" applyNumberFormat="1" applyFont="1" applyFill="1" applyAlignment="1">
      <alignment horizontal="right"/>
    </xf>
    <xf numFmtId="0" fontId="4" fillId="0" borderId="3" xfId="0" applyFont="1" applyBorder="1"/>
    <xf numFmtId="0" fontId="13" fillId="0" borderId="3" xfId="0" applyFont="1" applyBorder="1" applyAlignment="1">
      <alignment horizontal="right"/>
    </xf>
    <xf numFmtId="168" fontId="5" fillId="0" borderId="3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164" fontId="13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2" fontId="13" fillId="0" borderId="3" xfId="0" applyNumberFormat="1" applyFont="1" applyBorder="1" applyAlignment="1">
      <alignment horizontal="right"/>
    </xf>
    <xf numFmtId="0" fontId="0" fillId="0" borderId="3" xfId="0" applyBorder="1"/>
    <xf numFmtId="172" fontId="12" fillId="0" borderId="3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168" fontId="12" fillId="5" borderId="0" xfId="0" applyNumberFormat="1" applyFont="1" applyFill="1" applyAlignment="1">
      <alignment horizontal="right"/>
    </xf>
    <xf numFmtId="172" fontId="9" fillId="0" borderId="0" xfId="0" applyNumberFormat="1" applyFont="1" applyAlignment="1">
      <alignment horizontal="right"/>
    </xf>
    <xf numFmtId="172" fontId="12" fillId="0" borderId="0" xfId="0" applyNumberFormat="1" applyFont="1" applyAlignment="1">
      <alignment horizontal="right"/>
    </xf>
    <xf numFmtId="168" fontId="12" fillId="0" borderId="0" xfId="0" applyNumberFormat="1" applyFont="1" applyAlignment="1">
      <alignment horizontal="right"/>
    </xf>
    <xf numFmtId="0" fontId="12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7030A0"/>
      <rgbColor rgb="FFF2F2F2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A1:L6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52" customWidth="1"/>
    <col min="2" max="11" width="11" customWidth="1"/>
    <col min="12" max="12" width="90" customWidth="1"/>
  </cols>
  <sheetData>
    <row r="1" spans="1:12" ht="18" x14ac:dyDescent="0.2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4" t="str">
        <f>CHOOSE(Scenarios!$C$4,"Bull case","Base case","Bear case")</f>
        <v>Base case</v>
      </c>
    </row>
    <row r="5" spans="1:12" x14ac:dyDescent="0.2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6" t="s">
        <v>14</v>
      </c>
    </row>
    <row r="6" spans="1:12" x14ac:dyDescent="0.25">
      <c r="A6" s="8" t="s">
        <v>15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x14ac:dyDescent="0.25">
      <c r="A7" s="3" t="s">
        <v>16</v>
      </c>
    </row>
    <row r="8" spans="1:12" x14ac:dyDescent="0.25">
      <c r="A8" s="10" t="s">
        <v>17</v>
      </c>
      <c r="B8" s="11">
        <v>273</v>
      </c>
      <c r="C8" s="11">
        <v>617.46</v>
      </c>
      <c r="D8" s="11">
        <v>1263.3399999999999</v>
      </c>
      <c r="E8" s="11">
        <v>1280.8800000000001</v>
      </c>
      <c r="F8" s="11">
        <v>1365</v>
      </c>
      <c r="G8" s="12">
        <f>G58</f>
        <v>1298.3440000000001</v>
      </c>
      <c r="H8" s="13">
        <f>G8*(1+Scenarios!H12)</f>
        <v>1324.31088</v>
      </c>
      <c r="I8" s="13">
        <f>H8*(1+Scenarios!I12)</f>
        <v>1377.2833152000001</v>
      </c>
      <c r="J8" s="13">
        <f>I8*(1+Scenarios!J12)</f>
        <v>1432.3746478080002</v>
      </c>
      <c r="K8" s="13">
        <f>J8*(1+Scenarios!K12)</f>
        <v>1482.50776048128</v>
      </c>
      <c r="L8" s="2" t="s">
        <v>18</v>
      </c>
    </row>
    <row r="9" spans="1:12" x14ac:dyDescent="0.25">
      <c r="A9" s="10" t="s">
        <v>19</v>
      </c>
      <c r="C9" s="14">
        <f>IFERROR(C8/B8-1,0)</f>
        <v>1.2617582417582418</v>
      </c>
      <c r="D9" s="14">
        <f>IFERROR(D8/C8-1,0)</f>
        <v>1.0460272730217341</v>
      </c>
      <c r="E9" s="14">
        <f>IFERROR(E8/D8-1,0)</f>
        <v>1.3883831747589781E-2</v>
      </c>
      <c r="F9" s="14">
        <f>IFERROR(F8/E8-1,0)</f>
        <v>6.5673599400412064E-2</v>
      </c>
      <c r="G9" s="14">
        <f>G8/F8-1</f>
        <v>-4.8832234432234389E-2</v>
      </c>
      <c r="H9" s="14">
        <f>H8/G8-1</f>
        <v>2.0000000000000018E-2</v>
      </c>
      <c r="I9" s="14">
        <f>I8/H8-1</f>
        <v>4.0000000000000036E-2</v>
      </c>
      <c r="J9" s="14">
        <f>J8/I8-1</f>
        <v>4.0000000000000036E-2</v>
      </c>
      <c r="K9" s="14">
        <f>K8/J8-1</f>
        <v>3.499999999999992E-2</v>
      </c>
    </row>
    <row r="10" spans="1:12" x14ac:dyDescent="0.25">
      <c r="A10" s="10" t="s">
        <v>20</v>
      </c>
      <c r="B10" s="12">
        <f t="shared" ref="B10:K10" si="0">B50</f>
        <v>41.27</v>
      </c>
      <c r="C10" s="12">
        <f t="shared" si="0"/>
        <v>36.150000000000006</v>
      </c>
      <c r="D10" s="12">
        <f t="shared" si="0"/>
        <v>54.68</v>
      </c>
      <c r="E10" s="12">
        <f t="shared" si="0"/>
        <v>74.72</v>
      </c>
      <c r="F10" s="12">
        <f t="shared" si="0"/>
        <v>92.77000000000001</v>
      </c>
      <c r="G10" s="12">
        <f t="shared" si="0"/>
        <v>115.78600000000002</v>
      </c>
      <c r="H10" s="12">
        <f t="shared" si="0"/>
        <v>139.35672</v>
      </c>
      <c r="I10" s="12">
        <f t="shared" si="0"/>
        <v>164.88593279999998</v>
      </c>
      <c r="J10" s="12">
        <f t="shared" si="0"/>
        <v>192.51560908799999</v>
      </c>
      <c r="K10" s="12">
        <f t="shared" si="0"/>
        <v>220.13135258975996</v>
      </c>
      <c r="L10" s="2" t="s">
        <v>21</v>
      </c>
    </row>
    <row r="11" spans="1:12" x14ac:dyDescent="0.25">
      <c r="A11" s="10" t="s">
        <v>19</v>
      </c>
      <c r="C11" s="14">
        <f>IFERROR(C10/B10-1,0)</f>
        <v>-0.12406106130361028</v>
      </c>
      <c r="D11" s="14">
        <f>IFERROR(D10/C10-1,0)</f>
        <v>0.51258644536652809</v>
      </c>
      <c r="E11" s="14">
        <f>IFERROR(E10/D10-1,0)</f>
        <v>0.36649597659107536</v>
      </c>
      <c r="F11" s="14">
        <f>IFERROR(F10/E10-1,0)</f>
        <v>0.24156852248394012</v>
      </c>
      <c r="G11" s="14">
        <f>G10/F10-1</f>
        <v>0.24809744529481526</v>
      </c>
      <c r="H11" s="14">
        <f>H10/G10-1</f>
        <v>0.20357141623339592</v>
      </c>
      <c r="I11" s="14">
        <f>I10/H10-1</f>
        <v>0.18319326689089688</v>
      </c>
      <c r="J11" s="14">
        <f>J10/I10-1</f>
        <v>0.16756842635880709</v>
      </c>
      <c r="K11" s="14">
        <f>K10/J10-1</f>
        <v>0.14344677625146041</v>
      </c>
    </row>
    <row r="12" spans="1:12" x14ac:dyDescent="0.25">
      <c r="A12" s="3" t="s">
        <v>22</v>
      </c>
      <c r="B12" s="15">
        <f t="shared" ref="B12:K12" si="1">B8+B10</f>
        <v>314.27</v>
      </c>
      <c r="C12" s="15">
        <f t="shared" si="1"/>
        <v>653.61</v>
      </c>
      <c r="D12" s="15">
        <f t="shared" si="1"/>
        <v>1318.02</v>
      </c>
      <c r="E12" s="15">
        <f t="shared" si="1"/>
        <v>1355.6000000000001</v>
      </c>
      <c r="F12" s="15">
        <f t="shared" si="1"/>
        <v>1457.77</v>
      </c>
      <c r="G12" s="15">
        <f t="shared" si="1"/>
        <v>1414.13</v>
      </c>
      <c r="H12" s="15">
        <f t="shared" si="1"/>
        <v>1463.6676</v>
      </c>
      <c r="I12" s="15">
        <f t="shared" si="1"/>
        <v>1542.1692480000002</v>
      </c>
      <c r="J12" s="15">
        <f t="shared" si="1"/>
        <v>1624.8902568960002</v>
      </c>
      <c r="K12" s="15">
        <f t="shared" si="1"/>
        <v>1702.6391130710399</v>
      </c>
      <c r="L12" s="2" t="s">
        <v>23</v>
      </c>
    </row>
    <row r="13" spans="1:12" x14ac:dyDescent="0.25">
      <c r="A13" s="10" t="s">
        <v>19</v>
      </c>
      <c r="C13" s="14">
        <f>IFERROR(C12/B12-1,0)</f>
        <v>1.0797721704267031</v>
      </c>
      <c r="D13" s="14">
        <f>IFERROR(D12/C12-1,0)</f>
        <v>1.0165236149997705</v>
      </c>
      <c r="E13" s="14">
        <f>IFERROR(E12/D12-1,0)</f>
        <v>2.8512465668199427E-2</v>
      </c>
      <c r="F13" s="14">
        <f>IFERROR(F12/E12-1,0)</f>
        <v>7.5368840365889422E-2</v>
      </c>
      <c r="G13" s="14">
        <f>G12/F12-1</f>
        <v>-2.9936135329990288E-2</v>
      </c>
      <c r="H13" s="14">
        <f>H12/G12-1</f>
        <v>3.5030442745716428E-2</v>
      </c>
      <c r="I13" s="14">
        <f>I12/H12-1</f>
        <v>5.3633521709437471E-2</v>
      </c>
      <c r="J13" s="14">
        <f>J12/I12-1</f>
        <v>5.363938426555892E-2</v>
      </c>
      <c r="K13" s="14">
        <f>K12/J12-1</f>
        <v>4.7848681377142377E-2</v>
      </c>
    </row>
    <row r="14" spans="1:12" x14ac:dyDescent="0.25">
      <c r="A14" s="10" t="s">
        <v>24</v>
      </c>
      <c r="B14" s="14">
        <f t="shared" ref="B14:K14" si="2">B12/B26</f>
        <v>1</v>
      </c>
      <c r="C14" s="14">
        <f t="shared" si="2"/>
        <v>1</v>
      </c>
      <c r="D14" s="14">
        <f t="shared" si="2"/>
        <v>1</v>
      </c>
      <c r="E14" s="14">
        <f t="shared" si="2"/>
        <v>1</v>
      </c>
      <c r="F14" s="14">
        <f t="shared" si="2"/>
        <v>0.57956799866415931</v>
      </c>
      <c r="G14" s="14">
        <f t="shared" si="2"/>
        <v>0.45010041982169513</v>
      </c>
      <c r="H14" s="14">
        <f t="shared" si="2"/>
        <v>0.43632353231169196</v>
      </c>
      <c r="I14" s="14">
        <f t="shared" si="2"/>
        <v>0.4298589889903866</v>
      </c>
      <c r="J14" s="14">
        <f t="shared" si="2"/>
        <v>0.42671156247103842</v>
      </c>
      <c r="K14" s="14">
        <f t="shared" si="2"/>
        <v>0.42401275265055216</v>
      </c>
    </row>
    <row r="15" spans="1:12" x14ac:dyDescent="0.25">
      <c r="A15" s="10" t="s">
        <v>25</v>
      </c>
      <c r="F15" s="16">
        <v>0.109</v>
      </c>
      <c r="L15" s="2" t="s">
        <v>26</v>
      </c>
    </row>
    <row r="16" spans="1:12" x14ac:dyDescent="0.25">
      <c r="A16" s="3" t="s">
        <v>27</v>
      </c>
    </row>
    <row r="17" spans="1:12" x14ac:dyDescent="0.25">
      <c r="A17" s="10" t="s">
        <v>28</v>
      </c>
      <c r="B17" s="11">
        <v>0</v>
      </c>
      <c r="C17" s="11">
        <v>0</v>
      </c>
      <c r="D17" s="11">
        <v>0</v>
      </c>
      <c r="E17" s="11">
        <v>0</v>
      </c>
      <c r="F17" s="11">
        <v>1001.9</v>
      </c>
      <c r="G17" s="12">
        <f>G60</f>
        <v>1468.1350000000002</v>
      </c>
      <c r="H17" s="13">
        <f>G17*(1+Scenarios!H18)</f>
        <v>1644.3112000000003</v>
      </c>
      <c r="I17" s="13">
        <f>H17*(1+Scenarios!I18)</f>
        <v>1808.7423200000005</v>
      </c>
      <c r="J17" s="13">
        <f>I17*(1+Scenarios!J18)</f>
        <v>1953.4417056000007</v>
      </c>
      <c r="K17" s="13">
        <f>J17*(1+Scenarios!K18)</f>
        <v>2090.1826249920009</v>
      </c>
      <c r="L17" s="2" t="s">
        <v>29</v>
      </c>
    </row>
    <row r="18" spans="1:12" x14ac:dyDescent="0.25">
      <c r="A18" s="10" t="s">
        <v>19</v>
      </c>
      <c r="G18" s="14">
        <f>G17/F17-1</f>
        <v>0.46535083341650885</v>
      </c>
      <c r="H18" s="14">
        <f>H17/G17-1</f>
        <v>0.12000000000000011</v>
      </c>
      <c r="I18" s="14">
        <f>I17/H17-1</f>
        <v>0.10000000000000009</v>
      </c>
      <c r="J18" s="14">
        <f>J17/I17-1</f>
        <v>8.0000000000000071E-2</v>
      </c>
      <c r="K18" s="14">
        <f>K17/J17-1</f>
        <v>7.0000000000000062E-2</v>
      </c>
      <c r="L18" s="2" t="s">
        <v>30</v>
      </c>
    </row>
    <row r="19" spans="1:12" x14ac:dyDescent="0.25">
      <c r="A19" s="10" t="s">
        <v>24</v>
      </c>
      <c r="B19" s="14">
        <f t="shared" ref="B19:K19" si="3">B17/B26</f>
        <v>0</v>
      </c>
      <c r="C19" s="14">
        <f t="shared" si="3"/>
        <v>0</v>
      </c>
      <c r="D19" s="14">
        <f t="shared" si="3"/>
        <v>0</v>
      </c>
      <c r="E19" s="14">
        <f t="shared" si="3"/>
        <v>0</v>
      </c>
      <c r="F19" s="14">
        <f t="shared" si="3"/>
        <v>0.39832701857057096</v>
      </c>
      <c r="G19" s="14">
        <f t="shared" si="3"/>
        <v>0.46728955602025585</v>
      </c>
      <c r="H19" s="14">
        <f t="shared" si="3"/>
        <v>0.49017391039036262</v>
      </c>
      <c r="I19" s="14">
        <f t="shared" si="3"/>
        <v>0.5041626566135019</v>
      </c>
      <c r="J19" s="14">
        <f t="shared" si="3"/>
        <v>0.51299228292807564</v>
      </c>
      <c r="K19" s="14">
        <f t="shared" si="3"/>
        <v>0.52052374549687508</v>
      </c>
    </row>
    <row r="20" spans="1:12" x14ac:dyDescent="0.25">
      <c r="A20" s="10" t="s">
        <v>25</v>
      </c>
      <c r="F20" s="16">
        <v>6.7000000000000004E-2</v>
      </c>
      <c r="L20" s="2" t="s">
        <v>31</v>
      </c>
    </row>
    <row r="21" spans="1:12" x14ac:dyDescent="0.25">
      <c r="A21" s="3" t="s">
        <v>32</v>
      </c>
    </row>
    <row r="22" spans="1:12" x14ac:dyDescent="0.25">
      <c r="A22" s="10" t="s">
        <v>33</v>
      </c>
      <c r="B22" s="11">
        <v>0</v>
      </c>
      <c r="C22" s="11">
        <v>0</v>
      </c>
      <c r="D22" s="11">
        <v>0</v>
      </c>
      <c r="E22" s="11">
        <v>0</v>
      </c>
      <c r="F22" s="11">
        <v>55.6</v>
      </c>
      <c r="G22" s="12">
        <f>G61</f>
        <v>259.54499999999996</v>
      </c>
      <c r="H22" s="13">
        <f>G22*(1+Scenarios!H24)</f>
        <v>246.56774999999996</v>
      </c>
      <c r="I22" s="13">
        <f>H22*(1+Scenarios!I24)</f>
        <v>236.70503999999994</v>
      </c>
      <c r="J22" s="13">
        <f>I22*(1+Scenarios!J24)</f>
        <v>229.60388879999994</v>
      </c>
      <c r="K22" s="13">
        <f>J22*(1+Scenarios!K24)</f>
        <v>222.71577213599994</v>
      </c>
      <c r="L22" s="2" t="s">
        <v>34</v>
      </c>
    </row>
    <row r="23" spans="1:12" x14ac:dyDescent="0.25">
      <c r="A23" s="10" t="s">
        <v>19</v>
      </c>
      <c r="G23" s="14">
        <f>G22/F22-1</f>
        <v>3.6680755395683446</v>
      </c>
      <c r="H23" s="14">
        <f>H22/G22-1</f>
        <v>-5.0000000000000044E-2</v>
      </c>
      <c r="I23" s="14">
        <f>I22/H22-1</f>
        <v>-4.0000000000000147E-2</v>
      </c>
      <c r="J23" s="14">
        <f>J22/I22-1</f>
        <v>-3.0000000000000027E-2</v>
      </c>
      <c r="K23" s="14">
        <f>K22/J22-1</f>
        <v>-3.0000000000000027E-2</v>
      </c>
    </row>
    <row r="24" spans="1:12" x14ac:dyDescent="0.25">
      <c r="A24" s="10" t="s">
        <v>24</v>
      </c>
      <c r="B24" s="14">
        <f t="shared" ref="B24:K24" si="4">B22/B26</f>
        <v>0</v>
      </c>
      <c r="C24" s="14">
        <f t="shared" si="4"/>
        <v>0</v>
      </c>
      <c r="D24" s="14">
        <f t="shared" si="4"/>
        <v>0</v>
      </c>
      <c r="E24" s="14">
        <f t="shared" si="4"/>
        <v>0</v>
      </c>
      <c r="F24" s="14">
        <f t="shared" si="4"/>
        <v>2.2104982765269732E-2</v>
      </c>
      <c r="G24" s="14">
        <f t="shared" si="4"/>
        <v>8.2610024158048995E-2</v>
      </c>
      <c r="H24" s="14">
        <f t="shared" si="4"/>
        <v>7.3502557297945359E-2</v>
      </c>
      <c r="I24" s="14">
        <f t="shared" si="4"/>
        <v>6.5978354396111633E-2</v>
      </c>
      <c r="J24" s="14">
        <f t="shared" si="4"/>
        <v>6.0296154600885957E-2</v>
      </c>
      <c r="K24" s="14">
        <f t="shared" si="4"/>
        <v>5.5463501852572768E-2</v>
      </c>
    </row>
    <row r="25" spans="1:12" x14ac:dyDescent="0.25">
      <c r="A25" s="10" t="s">
        <v>25</v>
      </c>
      <c r="F25" s="16">
        <v>2.4E-2</v>
      </c>
      <c r="L25" s="2" t="s">
        <v>35</v>
      </c>
    </row>
    <row r="26" spans="1:12" x14ac:dyDescent="0.25">
      <c r="A26" s="17" t="s">
        <v>36</v>
      </c>
      <c r="B26" s="18">
        <f t="shared" ref="B26:K26" si="5">B12+B17+B22</f>
        <v>314.27</v>
      </c>
      <c r="C26" s="18">
        <f t="shared" si="5"/>
        <v>653.61</v>
      </c>
      <c r="D26" s="18">
        <f t="shared" si="5"/>
        <v>1318.02</v>
      </c>
      <c r="E26" s="18">
        <f t="shared" si="5"/>
        <v>1355.6000000000001</v>
      </c>
      <c r="F26" s="18">
        <f t="shared" si="5"/>
        <v>2515.27</v>
      </c>
      <c r="G26" s="18">
        <f t="shared" si="5"/>
        <v>3141.8100000000004</v>
      </c>
      <c r="H26" s="18">
        <f t="shared" si="5"/>
        <v>3354.5465500000005</v>
      </c>
      <c r="I26" s="18">
        <f t="shared" si="5"/>
        <v>3587.6166080000003</v>
      </c>
      <c r="J26" s="18">
        <f t="shared" si="5"/>
        <v>3807.9358512960007</v>
      </c>
      <c r="K26" s="18">
        <f t="shared" si="5"/>
        <v>4015.5375101990408</v>
      </c>
    </row>
    <row r="27" spans="1:12" x14ac:dyDescent="0.25">
      <c r="A27" s="10" t="s">
        <v>37</v>
      </c>
      <c r="B27" s="16">
        <v>1.4039999999999999</v>
      </c>
      <c r="G27" s="14">
        <f>G26/F26-1</f>
        <v>0.24909453060705222</v>
      </c>
      <c r="H27" s="14">
        <f>H26/G26-1</f>
        <v>6.7711462500915198E-2</v>
      </c>
      <c r="I27" s="14">
        <f>I26/H26-1</f>
        <v>6.9478856389695975E-2</v>
      </c>
      <c r="J27" s="14">
        <f>J26/I26-1</f>
        <v>6.1411033387656966E-2</v>
      </c>
      <c r="K27" s="14">
        <f>K26/J26-1</f>
        <v>5.4518160759558176E-2</v>
      </c>
      <c r="L27" s="2" t="s">
        <v>38</v>
      </c>
    </row>
    <row r="28" spans="1:12" x14ac:dyDescent="0.25">
      <c r="A28" s="10" t="s">
        <v>39</v>
      </c>
      <c r="B28" s="12">
        <f t="shared" ref="B28:K28" si="6">B17+B22</f>
        <v>0</v>
      </c>
      <c r="C28" s="12">
        <f t="shared" si="6"/>
        <v>0</v>
      </c>
      <c r="D28" s="12">
        <f t="shared" si="6"/>
        <v>0</v>
      </c>
      <c r="E28" s="12">
        <f t="shared" si="6"/>
        <v>0</v>
      </c>
      <c r="F28" s="12">
        <f t="shared" si="6"/>
        <v>1057.5</v>
      </c>
      <c r="G28" s="12">
        <f t="shared" si="6"/>
        <v>1727.6800000000003</v>
      </c>
      <c r="H28" s="12">
        <f t="shared" si="6"/>
        <v>1890.8789500000003</v>
      </c>
      <c r="I28" s="12">
        <f t="shared" si="6"/>
        <v>2045.4473600000006</v>
      </c>
      <c r="J28" s="12">
        <f t="shared" si="6"/>
        <v>2183.0455944000005</v>
      </c>
      <c r="K28" s="12">
        <f t="shared" si="6"/>
        <v>2312.8983971280009</v>
      </c>
    </row>
    <row r="29" spans="1:12" x14ac:dyDescent="0.25">
      <c r="A29" s="10" t="s">
        <v>24</v>
      </c>
      <c r="B29" s="14">
        <f t="shared" ref="B29:K29" si="7">B28/B26</f>
        <v>0</v>
      </c>
      <c r="C29" s="14">
        <f t="shared" si="7"/>
        <v>0</v>
      </c>
      <c r="D29" s="14">
        <f t="shared" si="7"/>
        <v>0</v>
      </c>
      <c r="E29" s="14">
        <f t="shared" si="7"/>
        <v>0</v>
      </c>
      <c r="F29" s="14">
        <f t="shared" si="7"/>
        <v>0.42043200133584069</v>
      </c>
      <c r="G29" s="14">
        <f t="shared" si="7"/>
        <v>0.54989958017830487</v>
      </c>
      <c r="H29" s="14">
        <f t="shared" si="7"/>
        <v>0.56367646768830793</v>
      </c>
      <c r="I29" s="14">
        <f t="shared" si="7"/>
        <v>0.57014101100961356</v>
      </c>
      <c r="J29" s="14">
        <f t="shared" si="7"/>
        <v>0.57328843752896164</v>
      </c>
      <c r="K29" s="14">
        <f t="shared" si="7"/>
        <v>0.57598724734944784</v>
      </c>
    </row>
    <row r="30" spans="1:12" x14ac:dyDescent="0.25">
      <c r="A30" s="10" t="s">
        <v>40</v>
      </c>
      <c r="F30" s="16">
        <v>0.432</v>
      </c>
      <c r="L30" s="2" t="s">
        <v>41</v>
      </c>
    </row>
    <row r="32" spans="1:12" x14ac:dyDescent="0.25">
      <c r="A32" s="8" t="s">
        <v>42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2" x14ac:dyDescent="0.25">
      <c r="A33" s="3" t="s">
        <v>43</v>
      </c>
    </row>
    <row r="34" spans="1:12" x14ac:dyDescent="0.25">
      <c r="A34" s="10" t="s">
        <v>44</v>
      </c>
      <c r="B34" s="12">
        <f t="shared" ref="B34:K34" si="8">B8</f>
        <v>273</v>
      </c>
      <c r="C34" s="12">
        <f t="shared" si="8"/>
        <v>617.46</v>
      </c>
      <c r="D34" s="12">
        <f t="shared" si="8"/>
        <v>1263.3399999999999</v>
      </c>
      <c r="E34" s="12">
        <f t="shared" si="8"/>
        <v>1280.8800000000001</v>
      </c>
      <c r="F34" s="12">
        <f t="shared" si="8"/>
        <v>1365</v>
      </c>
      <c r="G34" s="12">
        <f t="shared" si="8"/>
        <v>1298.3440000000001</v>
      </c>
      <c r="H34" s="12">
        <f t="shared" si="8"/>
        <v>1324.31088</v>
      </c>
      <c r="I34" s="12">
        <f t="shared" si="8"/>
        <v>1377.2833152000001</v>
      </c>
      <c r="J34" s="12">
        <f t="shared" si="8"/>
        <v>1432.3746478080002</v>
      </c>
      <c r="K34" s="12">
        <f t="shared" si="8"/>
        <v>1482.50776048128</v>
      </c>
    </row>
    <row r="35" spans="1:12" x14ac:dyDescent="0.25">
      <c r="A35" s="10" t="s">
        <v>28</v>
      </c>
      <c r="B35" s="12">
        <f t="shared" ref="B35:K35" si="9">B17</f>
        <v>0</v>
      </c>
      <c r="C35" s="12">
        <f t="shared" si="9"/>
        <v>0</v>
      </c>
      <c r="D35" s="12">
        <f t="shared" si="9"/>
        <v>0</v>
      </c>
      <c r="E35" s="12">
        <f t="shared" si="9"/>
        <v>0</v>
      </c>
      <c r="F35" s="12">
        <f t="shared" si="9"/>
        <v>1001.9</v>
      </c>
      <c r="G35" s="12">
        <f t="shared" si="9"/>
        <v>1468.1350000000002</v>
      </c>
      <c r="H35" s="12">
        <f t="shared" si="9"/>
        <v>1644.3112000000003</v>
      </c>
      <c r="I35" s="12">
        <f t="shared" si="9"/>
        <v>1808.7423200000005</v>
      </c>
      <c r="J35" s="12">
        <f t="shared" si="9"/>
        <v>1953.4417056000007</v>
      </c>
      <c r="K35" s="12">
        <f t="shared" si="9"/>
        <v>2090.1826249920009</v>
      </c>
    </row>
    <row r="36" spans="1:12" x14ac:dyDescent="0.25">
      <c r="A36" s="10" t="s">
        <v>33</v>
      </c>
      <c r="B36" s="12">
        <f t="shared" ref="B36:K36" si="10">B22</f>
        <v>0</v>
      </c>
      <c r="C36" s="12">
        <f t="shared" si="10"/>
        <v>0</v>
      </c>
      <c r="D36" s="12">
        <f t="shared" si="10"/>
        <v>0</v>
      </c>
      <c r="E36" s="12">
        <f t="shared" si="10"/>
        <v>0</v>
      </c>
      <c r="F36" s="12">
        <f t="shared" si="10"/>
        <v>55.6</v>
      </c>
      <c r="G36" s="12">
        <f t="shared" si="10"/>
        <v>259.54499999999996</v>
      </c>
      <c r="H36" s="12">
        <f t="shared" si="10"/>
        <v>246.56774999999996</v>
      </c>
      <c r="I36" s="12">
        <f t="shared" si="10"/>
        <v>236.70503999999994</v>
      </c>
      <c r="J36" s="12">
        <f t="shared" si="10"/>
        <v>229.60388879999994</v>
      </c>
      <c r="K36" s="12">
        <f t="shared" si="10"/>
        <v>222.71577213599994</v>
      </c>
    </row>
    <row r="37" spans="1:12" x14ac:dyDescent="0.25">
      <c r="A37" s="3" t="s">
        <v>45</v>
      </c>
      <c r="B37" s="15">
        <f t="shared" ref="B37:K37" si="11">SUM(B34:B36)</f>
        <v>273</v>
      </c>
      <c r="C37" s="15">
        <f t="shared" si="11"/>
        <v>617.46</v>
      </c>
      <c r="D37" s="15">
        <f t="shared" si="11"/>
        <v>1263.3399999999999</v>
      </c>
      <c r="E37" s="15">
        <f t="shared" si="11"/>
        <v>1280.8800000000001</v>
      </c>
      <c r="F37" s="15">
        <f t="shared" si="11"/>
        <v>2422.5</v>
      </c>
      <c r="G37" s="15">
        <f t="shared" si="11"/>
        <v>3026.0240000000003</v>
      </c>
      <c r="H37" s="15">
        <f t="shared" si="11"/>
        <v>3215.1898300000003</v>
      </c>
      <c r="I37" s="15">
        <f t="shared" si="11"/>
        <v>3422.7306752000004</v>
      </c>
      <c r="J37" s="15">
        <f t="shared" si="11"/>
        <v>3615.4202422080007</v>
      </c>
      <c r="K37" s="15">
        <f t="shared" si="11"/>
        <v>3795.4061576092809</v>
      </c>
      <c r="L37" s="2" t="s">
        <v>46</v>
      </c>
    </row>
    <row r="38" spans="1:12" x14ac:dyDescent="0.25">
      <c r="A38" s="10" t="s">
        <v>19</v>
      </c>
      <c r="C38" s="14">
        <f>IFERROR(C37/B37-1,0)</f>
        <v>1.2617582417582418</v>
      </c>
      <c r="D38" s="14">
        <f>IFERROR(D37/C37-1,0)</f>
        <v>1.0460272730217341</v>
      </c>
      <c r="E38" s="14">
        <f>IFERROR(E37/D37-1,0)</f>
        <v>1.3883831747589781E-2</v>
      </c>
      <c r="F38" s="14">
        <f>IFERROR(F37/E37-1,0)</f>
        <v>0.89127787146336868</v>
      </c>
      <c r="G38" s="14">
        <f>G37/F37-1</f>
        <v>0.24913271413828708</v>
      </c>
      <c r="H38" s="14">
        <f>H37/G37-1</f>
        <v>6.2512997253161284E-2</v>
      </c>
      <c r="I38" s="14">
        <f>I37/H37-1</f>
        <v>6.4550106268530971E-2</v>
      </c>
      <c r="J38" s="14">
        <f>J37/I37-1</f>
        <v>5.629702868652986E-2</v>
      </c>
      <c r="K38" s="14">
        <f>K37/J37-1</f>
        <v>4.9782847730962532E-2</v>
      </c>
    </row>
    <row r="39" spans="1:12" x14ac:dyDescent="0.25">
      <c r="A39" s="10" t="s">
        <v>24</v>
      </c>
      <c r="B39" s="14">
        <f t="shared" ref="B39:K39" si="12">B37/B53</f>
        <v>0.86867979762624503</v>
      </c>
      <c r="C39" s="14">
        <f t="shared" si="12"/>
        <v>0.94469178868132375</v>
      </c>
      <c r="D39" s="14">
        <f t="shared" si="12"/>
        <v>0.95851352786755883</v>
      </c>
      <c r="E39" s="14">
        <f t="shared" si="12"/>
        <v>0.94488049572145172</v>
      </c>
      <c r="F39" s="14">
        <f t="shared" si="12"/>
        <v>0.96311727965586202</v>
      </c>
      <c r="G39" s="14">
        <f t="shared" si="12"/>
        <v>0.96314672115754929</v>
      </c>
      <c r="H39" s="14">
        <f t="shared" si="12"/>
        <v>0.95845735990755598</v>
      </c>
      <c r="I39" s="14">
        <f t="shared" si="12"/>
        <v>0.95404025825047134</v>
      </c>
      <c r="J39" s="14">
        <f t="shared" si="12"/>
        <v>0.94944357872455265</v>
      </c>
      <c r="K39" s="14">
        <f t="shared" si="12"/>
        <v>0.94518010302963185</v>
      </c>
    </row>
    <row r="40" spans="1:12" x14ac:dyDescent="0.25">
      <c r="A40" s="3" t="s">
        <v>47</v>
      </c>
    </row>
    <row r="41" spans="1:12" x14ac:dyDescent="0.25">
      <c r="A41" s="10" t="s">
        <v>48</v>
      </c>
      <c r="G41" s="16">
        <v>0.2</v>
      </c>
      <c r="H41" s="16">
        <v>0.18</v>
      </c>
      <c r="I41" s="16">
        <v>0.16</v>
      </c>
      <c r="J41" s="16">
        <v>0.15</v>
      </c>
      <c r="K41" s="16">
        <v>0.13</v>
      </c>
      <c r="L41" s="2" t="s">
        <v>49</v>
      </c>
    </row>
    <row r="42" spans="1:12" x14ac:dyDescent="0.25">
      <c r="A42" s="10" t="s">
        <v>50</v>
      </c>
      <c r="B42" s="11">
        <v>38.1</v>
      </c>
      <c r="C42" s="11">
        <v>31.05</v>
      </c>
      <c r="D42" s="11">
        <v>43.72</v>
      </c>
      <c r="E42" s="11">
        <v>61.68</v>
      </c>
      <c r="F42" s="11">
        <v>72.540000000000006</v>
      </c>
      <c r="G42" s="13">
        <f>F42*(1+G41*Scenarios!G30)</f>
        <v>87.048000000000002</v>
      </c>
      <c r="H42" s="13">
        <f>G42*(1+H41*Scenarios!H30)</f>
        <v>102.71664</v>
      </c>
      <c r="I42" s="13">
        <f>H42*(1+I41*Scenarios!I30)</f>
        <v>119.15130239999999</v>
      </c>
      <c r="J42" s="13">
        <f>I42*(1+J41*Scenarios!J30)</f>
        <v>137.02399775999999</v>
      </c>
      <c r="K42" s="13">
        <f>J42*(1+K41*Scenarios!K30)</f>
        <v>154.83711746879996</v>
      </c>
      <c r="L42" s="2" t="s">
        <v>51</v>
      </c>
    </row>
    <row r="43" spans="1:12" x14ac:dyDescent="0.25">
      <c r="A43" s="10" t="s">
        <v>19</v>
      </c>
      <c r="C43" s="14">
        <f>IFERROR(C42/B42-1,0)</f>
        <v>-0.18503937007874016</v>
      </c>
      <c r="D43" s="14">
        <f>IFERROR(D42/C42-1,0)</f>
        <v>0.40805152979066017</v>
      </c>
      <c r="E43" s="14">
        <f>IFERROR(E42/D42-1,0)</f>
        <v>0.41079597438243365</v>
      </c>
      <c r="F43" s="14">
        <f>IFERROR(F42/E42-1,0)</f>
        <v>0.17607003891050588</v>
      </c>
      <c r="G43" s="14">
        <f>G42/F42-1</f>
        <v>0.19999999999999996</v>
      </c>
      <c r="H43" s="14">
        <f>H42/G42-1</f>
        <v>0.17999999999999994</v>
      </c>
      <c r="I43" s="14">
        <f>I42/H42-1</f>
        <v>0.15999999999999992</v>
      </c>
      <c r="J43" s="14">
        <f>J42/I42-1</f>
        <v>0.14999999999999991</v>
      </c>
      <c r="K43" s="14">
        <f>K42/J42-1</f>
        <v>0.12999999999999989</v>
      </c>
    </row>
    <row r="44" spans="1:12" x14ac:dyDescent="0.25">
      <c r="A44" s="10" t="s">
        <v>52</v>
      </c>
      <c r="G44" s="16">
        <v>0.6</v>
      </c>
      <c r="H44" s="16">
        <v>0.35</v>
      </c>
      <c r="I44" s="16">
        <v>0.3</v>
      </c>
      <c r="J44" s="16">
        <v>0.25</v>
      </c>
      <c r="K44" s="16">
        <v>0.2</v>
      </c>
      <c r="L44" s="2" t="s">
        <v>53</v>
      </c>
    </row>
    <row r="45" spans="1:12" x14ac:dyDescent="0.25">
      <c r="A45" s="10" t="s">
        <v>54</v>
      </c>
      <c r="B45" s="11">
        <v>2.54</v>
      </c>
      <c r="C45" s="11">
        <v>3.65</v>
      </c>
      <c r="D45" s="11">
        <v>4.76</v>
      </c>
      <c r="E45" s="11">
        <v>5.66</v>
      </c>
      <c r="F45" s="11">
        <v>12.97</v>
      </c>
      <c r="G45" s="13">
        <f>F45*(1+G44*Scenarios!G30)</f>
        <v>20.752000000000002</v>
      </c>
      <c r="H45" s="13">
        <f>G45*(1+H44*Scenarios!H30)</f>
        <v>28.015200000000004</v>
      </c>
      <c r="I45" s="13">
        <f>H45*(1+I44*Scenarios!I30)</f>
        <v>36.419760000000004</v>
      </c>
      <c r="J45" s="13">
        <f>I45*(1+J44*Scenarios!J30)</f>
        <v>45.524700000000003</v>
      </c>
      <c r="K45" s="13">
        <f>J45*(1+K44*Scenarios!K30)</f>
        <v>54.629640000000002</v>
      </c>
    </row>
    <row r="46" spans="1:12" x14ac:dyDescent="0.25">
      <c r="A46" s="10" t="s">
        <v>19</v>
      </c>
      <c r="C46" s="14">
        <f>IFERROR(C45/B45-1,0)</f>
        <v>0.43700787401574792</v>
      </c>
      <c r="D46" s="14">
        <f>IFERROR(D45/C45-1,0)</f>
        <v>0.30410958904109586</v>
      </c>
      <c r="E46" s="14">
        <f>IFERROR(E45/D45-1,0)</f>
        <v>0.18907563025210083</v>
      </c>
      <c r="F46" s="14">
        <f>IFERROR(F45/E45-1,0)</f>
        <v>1.2915194346289751</v>
      </c>
      <c r="G46" s="14">
        <f>G45/F45-1</f>
        <v>0.60000000000000009</v>
      </c>
      <c r="H46" s="14">
        <f>H45/G45-1</f>
        <v>0.35000000000000009</v>
      </c>
      <c r="I46" s="14">
        <f>I45/H45-1</f>
        <v>0.30000000000000004</v>
      </c>
      <c r="J46" s="14">
        <f>J45/I45-1</f>
        <v>0.25</v>
      </c>
      <c r="K46" s="14">
        <f>K45/J45-1</f>
        <v>0.19999999999999996</v>
      </c>
    </row>
    <row r="47" spans="1:12" x14ac:dyDescent="0.25">
      <c r="A47" s="10" t="s">
        <v>55</v>
      </c>
      <c r="G47" s="16">
        <v>0.1</v>
      </c>
      <c r="H47" s="16">
        <v>0.08</v>
      </c>
      <c r="I47" s="16">
        <v>0.08</v>
      </c>
      <c r="J47" s="16">
        <v>7.0000000000000007E-2</v>
      </c>
      <c r="K47" s="16">
        <v>7.0000000000000007E-2</v>
      </c>
    </row>
    <row r="48" spans="1:12" x14ac:dyDescent="0.25">
      <c r="A48" s="10" t="s">
        <v>56</v>
      </c>
      <c r="B48" s="11">
        <v>0.63</v>
      </c>
      <c r="C48" s="11">
        <v>1.45</v>
      </c>
      <c r="D48" s="11">
        <v>6.2</v>
      </c>
      <c r="E48" s="11">
        <v>7.38</v>
      </c>
      <c r="F48" s="11">
        <v>7.26</v>
      </c>
      <c r="G48" s="13">
        <f>F48*(1+G47*Scenarios!G30)</f>
        <v>7.9860000000000007</v>
      </c>
      <c r="H48" s="13">
        <f>G48*(1+H47*Scenarios!H30)</f>
        <v>8.624880000000001</v>
      </c>
      <c r="I48" s="13">
        <f>H48*(1+I47*Scenarios!I30)</f>
        <v>9.314870400000002</v>
      </c>
      <c r="J48" s="13">
        <f>I48*(1+J47*Scenarios!J30)</f>
        <v>9.9669113280000019</v>
      </c>
      <c r="K48" s="13">
        <f>J48*(1+K47*Scenarios!K30)</f>
        <v>10.664595120960003</v>
      </c>
    </row>
    <row r="49" spans="1:12" x14ac:dyDescent="0.25">
      <c r="A49" s="10" t="s">
        <v>19</v>
      </c>
      <c r="C49" s="14">
        <f>IFERROR(C48/B48-1,0)</f>
        <v>1.3015873015873014</v>
      </c>
      <c r="D49" s="14">
        <f>IFERROR(D48/C48-1,0)</f>
        <v>3.2758620689655178</v>
      </c>
      <c r="E49" s="14">
        <f>IFERROR(E48/D48-1,0)</f>
        <v>0.19032258064516117</v>
      </c>
      <c r="F49" s="14">
        <f>IFERROR(F48/E48-1,0)</f>
        <v>-1.6260162601625994E-2</v>
      </c>
      <c r="G49" s="14">
        <f>G48/F48-1</f>
        <v>0.10000000000000009</v>
      </c>
      <c r="H49" s="14">
        <f>H48/G48-1</f>
        <v>8.0000000000000071E-2</v>
      </c>
      <c r="I49" s="14">
        <f>I48/H48-1</f>
        <v>8.0000000000000071E-2</v>
      </c>
      <c r="J49" s="14">
        <f>J48/I48-1</f>
        <v>7.0000000000000062E-2</v>
      </c>
      <c r="K49" s="14">
        <f>K48/J48-1</f>
        <v>7.0000000000000062E-2</v>
      </c>
    </row>
    <row r="50" spans="1:12" x14ac:dyDescent="0.25">
      <c r="A50" s="3" t="s">
        <v>57</v>
      </c>
      <c r="B50" s="15">
        <f t="shared" ref="B50:K50" si="13">B42+B45+B48</f>
        <v>41.27</v>
      </c>
      <c r="C50" s="15">
        <f t="shared" si="13"/>
        <v>36.150000000000006</v>
      </c>
      <c r="D50" s="15">
        <f t="shared" si="13"/>
        <v>54.68</v>
      </c>
      <c r="E50" s="15">
        <f t="shared" si="13"/>
        <v>74.72</v>
      </c>
      <c r="F50" s="15">
        <f t="shared" si="13"/>
        <v>92.77000000000001</v>
      </c>
      <c r="G50" s="15">
        <f t="shared" si="13"/>
        <v>115.78600000000002</v>
      </c>
      <c r="H50" s="15">
        <f t="shared" si="13"/>
        <v>139.35672</v>
      </c>
      <c r="I50" s="15">
        <f t="shared" si="13"/>
        <v>164.88593279999998</v>
      </c>
      <c r="J50" s="15">
        <f t="shared" si="13"/>
        <v>192.51560908799999</v>
      </c>
      <c r="K50" s="15">
        <f t="shared" si="13"/>
        <v>220.13135258975996</v>
      </c>
      <c r="L50" s="2" t="s">
        <v>58</v>
      </c>
    </row>
    <row r="51" spans="1:12" x14ac:dyDescent="0.25">
      <c r="A51" s="10" t="s">
        <v>19</v>
      </c>
      <c r="C51" s="14">
        <f>IFERROR(C50/B50-1,0)</f>
        <v>-0.12406106130361028</v>
      </c>
      <c r="D51" s="14">
        <f>IFERROR(D50/C50-1,0)</f>
        <v>0.51258644536652809</v>
      </c>
      <c r="E51" s="14">
        <f>IFERROR(E50/D50-1,0)</f>
        <v>0.36649597659107536</v>
      </c>
      <c r="F51" s="14">
        <f>IFERROR(F50/E50-1,0)</f>
        <v>0.24156852248394012</v>
      </c>
      <c r="G51" s="14">
        <f>G50/F50-1</f>
        <v>0.24809744529481526</v>
      </c>
      <c r="H51" s="14">
        <f>H50/G50-1</f>
        <v>0.20357141623339592</v>
      </c>
      <c r="I51" s="14">
        <f>I50/H50-1</f>
        <v>0.18319326689089688</v>
      </c>
      <c r="J51" s="14">
        <f>J50/I50-1</f>
        <v>0.16756842635880709</v>
      </c>
      <c r="K51" s="14">
        <f>K50/J50-1</f>
        <v>0.14344677625146041</v>
      </c>
    </row>
    <row r="52" spans="1:12" x14ac:dyDescent="0.25">
      <c r="A52" s="10" t="s">
        <v>24</v>
      </c>
      <c r="B52" s="14">
        <f t="shared" ref="B52:K52" si="14">B50/B53</f>
        <v>0.13132020237375508</v>
      </c>
      <c r="C52" s="14">
        <f t="shared" si="14"/>
        <v>5.5308211318676283E-2</v>
      </c>
      <c r="D52" s="14">
        <f t="shared" si="14"/>
        <v>4.1486472132441089E-2</v>
      </c>
      <c r="E52" s="14">
        <f t="shared" si="14"/>
        <v>5.511950427854824E-2</v>
      </c>
      <c r="F52" s="14">
        <f t="shared" si="14"/>
        <v>3.6882720344138011E-2</v>
      </c>
      <c r="G52" s="14">
        <f t="shared" si="14"/>
        <v>3.6853278842450689E-2</v>
      </c>
      <c r="H52" s="14">
        <f t="shared" si="14"/>
        <v>4.1542640092444086E-2</v>
      </c>
      <c r="I52" s="14">
        <f t="shared" si="14"/>
        <v>4.5959741749528653E-2</v>
      </c>
      <c r="J52" s="14">
        <f t="shared" si="14"/>
        <v>5.0556421275447391E-2</v>
      </c>
      <c r="K52" s="14">
        <f t="shared" si="14"/>
        <v>5.4819896970368126E-2</v>
      </c>
    </row>
    <row r="53" spans="1:12" x14ac:dyDescent="0.25">
      <c r="A53" s="17" t="s">
        <v>59</v>
      </c>
      <c r="B53" s="18">
        <f t="shared" ref="B53:K53" si="15">B37+B50</f>
        <v>314.27</v>
      </c>
      <c r="C53" s="18">
        <f t="shared" si="15"/>
        <v>653.61</v>
      </c>
      <c r="D53" s="18">
        <f t="shared" si="15"/>
        <v>1318.02</v>
      </c>
      <c r="E53" s="18">
        <f t="shared" si="15"/>
        <v>1355.6000000000001</v>
      </c>
      <c r="F53" s="18">
        <f t="shared" si="15"/>
        <v>2515.27</v>
      </c>
      <c r="G53" s="18">
        <f t="shared" si="15"/>
        <v>3141.8100000000004</v>
      </c>
      <c r="H53" s="18">
        <f t="shared" si="15"/>
        <v>3354.54655</v>
      </c>
      <c r="I53" s="18">
        <f t="shared" si="15"/>
        <v>3587.6166080000003</v>
      </c>
      <c r="J53" s="18">
        <f t="shared" si="15"/>
        <v>3807.9358512960007</v>
      </c>
      <c r="K53" s="18">
        <f t="shared" si="15"/>
        <v>4015.5375101990408</v>
      </c>
    </row>
    <row r="54" spans="1:12" x14ac:dyDescent="0.25">
      <c r="A54" s="10" t="s">
        <v>60</v>
      </c>
      <c r="B54" s="12">
        <f t="shared" ref="B54:K54" si="16">ROUND(B26-B53,6)</f>
        <v>0</v>
      </c>
      <c r="C54" s="12">
        <f t="shared" si="16"/>
        <v>0</v>
      </c>
      <c r="D54" s="12">
        <f t="shared" si="16"/>
        <v>0</v>
      </c>
      <c r="E54" s="12">
        <f t="shared" si="16"/>
        <v>0</v>
      </c>
      <c r="F54" s="12">
        <f t="shared" si="16"/>
        <v>0</v>
      </c>
      <c r="G54" s="12">
        <f t="shared" si="16"/>
        <v>0</v>
      </c>
      <c r="H54" s="12">
        <f t="shared" si="16"/>
        <v>0</v>
      </c>
      <c r="I54" s="12">
        <f t="shared" si="16"/>
        <v>0</v>
      </c>
      <c r="J54" s="12">
        <f t="shared" si="16"/>
        <v>0</v>
      </c>
      <c r="K54" s="12">
        <f t="shared" si="16"/>
        <v>0</v>
      </c>
    </row>
    <row r="56" spans="1:12" x14ac:dyDescent="0.25">
      <c r="A56" s="8" t="s">
        <v>61</v>
      </c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2" x14ac:dyDescent="0.25">
      <c r="A57" s="3" t="s">
        <v>62</v>
      </c>
      <c r="B57" s="6" t="s">
        <v>63</v>
      </c>
      <c r="C57" s="6" t="s">
        <v>64</v>
      </c>
      <c r="D57" s="6" t="s">
        <v>65</v>
      </c>
      <c r="E57" s="6" t="s">
        <v>66</v>
      </c>
      <c r="F57" s="6" t="s">
        <v>67</v>
      </c>
      <c r="G57" s="6" t="s">
        <v>68</v>
      </c>
      <c r="H57" s="6" t="s">
        <v>69</v>
      </c>
    </row>
    <row r="58" spans="1:12" x14ac:dyDescent="0.25">
      <c r="A58" s="10" t="s">
        <v>70</v>
      </c>
      <c r="B58" s="11">
        <v>719.8</v>
      </c>
      <c r="C58" s="12">
        <f>D58-B58</f>
        <v>645.20000000000005</v>
      </c>
      <c r="D58" s="12">
        <f>F8</f>
        <v>1365</v>
      </c>
      <c r="E58" s="11">
        <v>672.5</v>
      </c>
      <c r="F58" s="13">
        <f>C58*(1+Scenarios!G12)</f>
        <v>625.84400000000005</v>
      </c>
      <c r="G58" s="12">
        <f>E58+F58</f>
        <v>1298.3440000000001</v>
      </c>
      <c r="H58" s="14">
        <f>F58/C58-1</f>
        <v>-3.0000000000000027E-2</v>
      </c>
      <c r="L58" s="2" t="s">
        <v>71</v>
      </c>
    </row>
    <row r="59" spans="1:12" x14ac:dyDescent="0.25">
      <c r="A59" s="10" t="s">
        <v>72</v>
      </c>
      <c r="B59" s="11">
        <v>47.5</v>
      </c>
      <c r="C59" s="12">
        <f>D59-B59</f>
        <v>45.27000000000001</v>
      </c>
      <c r="D59" s="12">
        <f>F50</f>
        <v>92.77000000000001</v>
      </c>
      <c r="E59" s="11">
        <v>62.5</v>
      </c>
      <c r="F59" s="12">
        <f>G59-E59</f>
        <v>53.286000000000016</v>
      </c>
      <c r="G59" s="12">
        <f>G50</f>
        <v>115.78600000000002</v>
      </c>
      <c r="H59" s="14">
        <f>F59/C59-1</f>
        <v>0.17707090788601731</v>
      </c>
      <c r="L59" s="2" t="s">
        <v>73</v>
      </c>
    </row>
    <row r="60" spans="1:12" x14ac:dyDescent="0.25">
      <c r="A60" s="10" t="s">
        <v>74</v>
      </c>
      <c r="B60" s="11">
        <v>301.2</v>
      </c>
      <c r="C60" s="12">
        <f>D60-B60</f>
        <v>700.7</v>
      </c>
      <c r="D60" s="12">
        <f>F17</f>
        <v>1001.9</v>
      </c>
      <c r="E60" s="11">
        <v>732.4</v>
      </c>
      <c r="F60" s="13">
        <f>C60*(1+Scenarios!G18)</f>
        <v>735.73500000000013</v>
      </c>
      <c r="G60" s="12">
        <f>E60+F60</f>
        <v>1468.1350000000002</v>
      </c>
      <c r="H60" s="14">
        <f>F60/C60-1</f>
        <v>5.0000000000000044E-2</v>
      </c>
      <c r="L60" s="2" t="s">
        <v>75</v>
      </c>
    </row>
    <row r="61" spans="1:12" x14ac:dyDescent="0.25">
      <c r="A61" s="10" t="s">
        <v>76</v>
      </c>
      <c r="B61" s="11">
        <v>0</v>
      </c>
      <c r="C61" s="12">
        <f>D61-B61</f>
        <v>55.6</v>
      </c>
      <c r="D61" s="12">
        <f>F22</f>
        <v>55.6</v>
      </c>
      <c r="E61" s="11">
        <v>133.1</v>
      </c>
      <c r="F61" s="13">
        <f>E61*(1+Scenarios!G24)</f>
        <v>126.44499999999999</v>
      </c>
      <c r="G61" s="12">
        <f>E61+F61</f>
        <v>259.54499999999996</v>
      </c>
      <c r="H61" s="14">
        <f>F61/E61-1</f>
        <v>-5.0000000000000044E-2</v>
      </c>
      <c r="L61" s="2" t="s">
        <v>77</v>
      </c>
    </row>
    <row r="62" spans="1:12" x14ac:dyDescent="0.25">
      <c r="A62" s="3" t="s">
        <v>78</v>
      </c>
      <c r="B62" s="15">
        <f t="shared" ref="B62:G62" si="17">SUM(B58:B61)</f>
        <v>1068.5</v>
      </c>
      <c r="C62" s="15">
        <f t="shared" si="17"/>
        <v>1446.77</v>
      </c>
      <c r="D62" s="15">
        <f t="shared" si="17"/>
        <v>2515.27</v>
      </c>
      <c r="E62" s="15">
        <f t="shared" si="17"/>
        <v>1600.5</v>
      </c>
      <c r="F62" s="15">
        <f t="shared" si="17"/>
        <v>1541.3100000000002</v>
      </c>
      <c r="G62" s="15">
        <f t="shared" si="17"/>
        <v>3141.8100000000004</v>
      </c>
      <c r="H62" s="19">
        <f>F62/C62-1</f>
        <v>6.5345562874541407E-2</v>
      </c>
      <c r="L62" s="2" t="s">
        <v>79</v>
      </c>
    </row>
    <row r="64" spans="1:12" x14ac:dyDescent="0.25">
      <c r="A64" s="2" t="s">
        <v>80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5597"/>
  </sheetPr>
  <dimension ref="A1:L6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52" customWidth="1"/>
    <col min="2" max="11" width="11" customWidth="1"/>
    <col min="12" max="12" width="90" customWidth="1"/>
  </cols>
  <sheetData>
    <row r="1" spans="1:12" ht="18" x14ac:dyDescent="0.25">
      <c r="A1" s="1" t="s">
        <v>81</v>
      </c>
    </row>
    <row r="2" spans="1:12" x14ac:dyDescent="0.25">
      <c r="A2" s="2" t="s">
        <v>1</v>
      </c>
    </row>
    <row r="3" spans="1:12" x14ac:dyDescent="0.25">
      <c r="A3" s="3" t="s">
        <v>2</v>
      </c>
      <c r="B3" s="4" t="str">
        <f>CHOOSE(Scenarios!$C$4,"Bull case","Base case","Bear case")</f>
        <v>Base case</v>
      </c>
    </row>
    <row r="5" spans="1:12" x14ac:dyDescent="0.2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6" t="s">
        <v>14</v>
      </c>
    </row>
    <row r="6" spans="1:12" x14ac:dyDescent="0.25">
      <c r="A6" s="8" t="s">
        <v>82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x14ac:dyDescent="0.25">
      <c r="A7" s="3" t="s">
        <v>83</v>
      </c>
      <c r="B7" s="20">
        <f>'Revenue Model'!B26</f>
        <v>314.27</v>
      </c>
      <c r="C7" s="20">
        <f>'Revenue Model'!C26</f>
        <v>653.61</v>
      </c>
      <c r="D7" s="20">
        <f>'Revenue Model'!D26</f>
        <v>1318.02</v>
      </c>
      <c r="E7" s="20">
        <f>'Revenue Model'!E26</f>
        <v>1355.6000000000001</v>
      </c>
      <c r="F7" s="20">
        <f>'Revenue Model'!F26</f>
        <v>2515.27</v>
      </c>
      <c r="G7" s="20">
        <f>'Revenue Model'!G26</f>
        <v>3141.8100000000004</v>
      </c>
      <c r="H7" s="20">
        <f>'Revenue Model'!H26</f>
        <v>3354.5465500000005</v>
      </c>
      <c r="I7" s="20">
        <f>'Revenue Model'!I26</f>
        <v>3587.6166080000003</v>
      </c>
      <c r="J7" s="20">
        <f>'Revenue Model'!J26</f>
        <v>3807.9358512960007</v>
      </c>
      <c r="K7" s="20">
        <f>'Revenue Model'!K26</f>
        <v>4015.5375101990408</v>
      </c>
    </row>
    <row r="8" spans="1:12" x14ac:dyDescent="0.25">
      <c r="A8" s="10" t="s">
        <v>37</v>
      </c>
      <c r="B8" s="16">
        <v>1.4039999999999999</v>
      </c>
      <c r="G8" s="14">
        <f>G7/F7-1</f>
        <v>0.24909453060705222</v>
      </c>
      <c r="H8" s="14">
        <f>H7/G7-1</f>
        <v>6.7711462500915198E-2</v>
      </c>
      <c r="I8" s="14">
        <f>I7/H7-1</f>
        <v>6.9478856389695975E-2</v>
      </c>
      <c r="J8" s="14">
        <f>J7/I7-1</f>
        <v>6.1411033387656966E-2</v>
      </c>
      <c r="K8" s="14">
        <f>K7/J7-1</f>
        <v>5.4518160759558176E-2</v>
      </c>
    </row>
    <row r="9" spans="1:12" x14ac:dyDescent="0.25">
      <c r="A9" s="8" t="s">
        <v>84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2" x14ac:dyDescent="0.25">
      <c r="A10" s="10" t="s">
        <v>85</v>
      </c>
      <c r="B10" s="11">
        <v>186.1</v>
      </c>
      <c r="C10" s="11">
        <v>382.74</v>
      </c>
      <c r="D10" s="11">
        <v>684.88</v>
      </c>
      <c r="E10" s="11">
        <v>675.42</v>
      </c>
      <c r="F10" s="11">
        <v>1225.49</v>
      </c>
      <c r="G10" s="13">
        <f>G7*(1-Scenarios!G36)</f>
        <v>1608.6067200000002</v>
      </c>
      <c r="H10" s="13">
        <f>H7*(1-Scenarios!H36)</f>
        <v>1677.2732750000002</v>
      </c>
      <c r="I10" s="13">
        <f>I7*(1-Scenarios!I36)</f>
        <v>1775.8702209600001</v>
      </c>
      <c r="J10" s="13">
        <f>J7*(1-Scenarios!J36)</f>
        <v>1865.8885671350404</v>
      </c>
      <c r="K10" s="13">
        <f>K7*(1-Scenarios!K36)</f>
        <v>1967.61337999753</v>
      </c>
      <c r="L10" s="2" t="s">
        <v>86</v>
      </c>
    </row>
    <row r="11" spans="1:12" x14ac:dyDescent="0.25">
      <c r="A11" s="10" t="s">
        <v>87</v>
      </c>
      <c r="B11" s="11">
        <v>0</v>
      </c>
      <c r="C11" s="11">
        <v>0</v>
      </c>
      <c r="D11" s="11">
        <v>0</v>
      </c>
      <c r="E11" s="11">
        <v>0</v>
      </c>
      <c r="F11" s="11">
        <v>22.45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spans="1:12" x14ac:dyDescent="0.25">
      <c r="A12" s="10" t="s">
        <v>88</v>
      </c>
      <c r="B12" s="12">
        <f t="shared" ref="B12:K12" si="0">B10+B11</f>
        <v>186.1</v>
      </c>
      <c r="C12" s="12">
        <f t="shared" si="0"/>
        <v>382.74</v>
      </c>
      <c r="D12" s="12">
        <f t="shared" si="0"/>
        <v>684.88</v>
      </c>
      <c r="E12" s="12">
        <f t="shared" si="0"/>
        <v>675.42</v>
      </c>
      <c r="F12" s="12">
        <f t="shared" si="0"/>
        <v>1247.94</v>
      </c>
      <c r="G12" s="12">
        <f t="shared" si="0"/>
        <v>1608.6067200000002</v>
      </c>
      <c r="H12" s="12">
        <f t="shared" si="0"/>
        <v>1677.2732750000002</v>
      </c>
      <c r="I12" s="12">
        <f t="shared" si="0"/>
        <v>1775.8702209600001</v>
      </c>
      <c r="J12" s="12">
        <f t="shared" si="0"/>
        <v>1865.8885671350404</v>
      </c>
      <c r="K12" s="12">
        <f t="shared" si="0"/>
        <v>1967.61337999753</v>
      </c>
    </row>
    <row r="13" spans="1:12" x14ac:dyDescent="0.25">
      <c r="A13" s="17" t="s">
        <v>89</v>
      </c>
      <c r="B13" s="18">
        <f t="shared" ref="B13:K13" si="1">B7-B12</f>
        <v>128.16999999999999</v>
      </c>
      <c r="C13" s="18">
        <f t="shared" si="1"/>
        <v>270.87</v>
      </c>
      <c r="D13" s="18">
        <f t="shared" si="1"/>
        <v>633.14</v>
      </c>
      <c r="E13" s="18">
        <f t="shared" si="1"/>
        <v>680.18000000000018</v>
      </c>
      <c r="F13" s="18">
        <f t="shared" si="1"/>
        <v>1267.33</v>
      </c>
      <c r="G13" s="18">
        <f t="shared" si="1"/>
        <v>1533.2032800000002</v>
      </c>
      <c r="H13" s="18">
        <f t="shared" si="1"/>
        <v>1677.2732750000002</v>
      </c>
      <c r="I13" s="18">
        <f t="shared" si="1"/>
        <v>1811.7463870400002</v>
      </c>
      <c r="J13" s="18">
        <f t="shared" si="1"/>
        <v>1942.0472841609603</v>
      </c>
      <c r="K13" s="18">
        <f t="shared" si="1"/>
        <v>2047.9241302015107</v>
      </c>
    </row>
    <row r="14" spans="1:12" x14ac:dyDescent="0.25">
      <c r="A14" s="10" t="s">
        <v>90</v>
      </c>
      <c r="B14" s="14">
        <f t="shared" ref="B14:K14" si="2">B13/B7</f>
        <v>0.4078340280650396</v>
      </c>
      <c r="C14" s="14">
        <f t="shared" si="2"/>
        <v>0.41442144398035524</v>
      </c>
      <c r="D14" s="14">
        <f t="shared" si="2"/>
        <v>0.48037207326140724</v>
      </c>
      <c r="E14" s="14">
        <f t="shared" si="2"/>
        <v>0.50175568014163474</v>
      </c>
      <c r="F14" s="14">
        <f t="shared" si="2"/>
        <v>0.50385445697678577</v>
      </c>
      <c r="G14" s="14">
        <f t="shared" si="2"/>
        <v>0.48799999999999999</v>
      </c>
      <c r="H14" s="14">
        <f t="shared" si="2"/>
        <v>0.5</v>
      </c>
      <c r="I14" s="14">
        <f t="shared" si="2"/>
        <v>0.505</v>
      </c>
      <c r="J14" s="14">
        <f t="shared" si="2"/>
        <v>0.51</v>
      </c>
      <c r="K14" s="14">
        <f t="shared" si="2"/>
        <v>0.51</v>
      </c>
    </row>
    <row r="15" spans="1:12" x14ac:dyDescent="0.25">
      <c r="A15" s="10" t="s">
        <v>91</v>
      </c>
      <c r="B15" s="14">
        <f t="shared" ref="B15:K15" si="3">(B7-B10)/B7</f>
        <v>0.4078340280650396</v>
      </c>
      <c r="C15" s="14">
        <f t="shared" si="3"/>
        <v>0.41442144398035524</v>
      </c>
      <c r="D15" s="14">
        <f t="shared" si="3"/>
        <v>0.48037207326140724</v>
      </c>
      <c r="E15" s="14">
        <f t="shared" si="3"/>
        <v>0.50175568014163474</v>
      </c>
      <c r="F15" s="14">
        <f t="shared" si="3"/>
        <v>0.51277994012571215</v>
      </c>
      <c r="G15" s="14">
        <f t="shared" si="3"/>
        <v>0.48799999999999999</v>
      </c>
      <c r="H15" s="14">
        <f t="shared" si="3"/>
        <v>0.5</v>
      </c>
      <c r="I15" s="14">
        <f t="shared" si="3"/>
        <v>0.505</v>
      </c>
      <c r="J15" s="14">
        <f t="shared" si="3"/>
        <v>0.51</v>
      </c>
      <c r="K15" s="14">
        <f t="shared" si="3"/>
        <v>0.51</v>
      </c>
    </row>
    <row r="16" spans="1:12" x14ac:dyDescent="0.25">
      <c r="A16" s="8" t="s">
        <v>92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2" x14ac:dyDescent="0.25">
      <c r="A17" s="10" t="s">
        <v>93</v>
      </c>
      <c r="E17" s="11">
        <v>350.66</v>
      </c>
      <c r="F17" s="11">
        <v>548.79</v>
      </c>
      <c r="G17" s="13">
        <f>G7*Scenarios!G42</f>
        <v>675.48915000000011</v>
      </c>
      <c r="H17" s="13">
        <f>H7*Scenarios!H42</f>
        <v>721.22750825000014</v>
      </c>
      <c r="I17" s="13">
        <f>I7*Scenarios!I42</f>
        <v>753.39948767999999</v>
      </c>
      <c r="J17" s="13">
        <f>J7*Scenarios!J42</f>
        <v>799.66652877216006</v>
      </c>
      <c r="K17" s="13">
        <f>K7*Scenarios!K42</f>
        <v>843.26287714179853</v>
      </c>
      <c r="L17" s="2" t="s">
        <v>94</v>
      </c>
    </row>
    <row r="18" spans="1:12" x14ac:dyDescent="0.25">
      <c r="A18" s="10" t="s">
        <v>95</v>
      </c>
      <c r="B18" s="14">
        <f t="shared" ref="B18:K18" si="4">B17/B7</f>
        <v>0</v>
      </c>
      <c r="C18" s="14">
        <f t="shared" si="4"/>
        <v>0</v>
      </c>
      <c r="D18" s="14">
        <f t="shared" si="4"/>
        <v>0</v>
      </c>
      <c r="E18" s="14">
        <f t="shared" si="4"/>
        <v>0.2586751254057244</v>
      </c>
      <c r="F18" s="14">
        <f t="shared" si="4"/>
        <v>0.21818333618259669</v>
      </c>
      <c r="G18" s="14">
        <f t="shared" si="4"/>
        <v>0.215</v>
      </c>
      <c r="H18" s="14">
        <f t="shared" si="4"/>
        <v>0.21500000000000002</v>
      </c>
      <c r="I18" s="14">
        <f t="shared" si="4"/>
        <v>0.21</v>
      </c>
      <c r="J18" s="14">
        <f t="shared" si="4"/>
        <v>0.21</v>
      </c>
      <c r="K18" s="14">
        <f t="shared" si="4"/>
        <v>0.21</v>
      </c>
    </row>
    <row r="19" spans="1:12" x14ac:dyDescent="0.25">
      <c r="A19" s="10" t="s">
        <v>96</v>
      </c>
      <c r="E19" s="11">
        <v>108.46</v>
      </c>
      <c r="F19" s="11">
        <v>189.78</v>
      </c>
      <c r="G19" s="13">
        <f>G7*Scenarios!G48</f>
        <v>213.64308000000005</v>
      </c>
      <c r="H19" s="13">
        <f>H7*Scenarios!H48</f>
        <v>221.40007230000003</v>
      </c>
      <c r="I19" s="13">
        <f>I7*Scenarios!I48</f>
        <v>229.60746291200002</v>
      </c>
      <c r="J19" s="13">
        <f>J7*Scenarios!J48</f>
        <v>236.09202278035204</v>
      </c>
      <c r="K19" s="13">
        <f>K7*Scenarios!K48</f>
        <v>240.93225061194244</v>
      </c>
    </row>
    <row r="20" spans="1:12" x14ac:dyDescent="0.25">
      <c r="A20" s="10" t="s">
        <v>95</v>
      </c>
      <c r="B20" s="14">
        <f t="shared" ref="B20:K20" si="5">B19/B7</f>
        <v>0</v>
      </c>
      <c r="C20" s="14">
        <f t="shared" si="5"/>
        <v>0</v>
      </c>
      <c r="D20" s="14">
        <f t="shared" si="5"/>
        <v>0</v>
      </c>
      <c r="E20" s="14">
        <f t="shared" si="5"/>
        <v>8.0008852168781341E-2</v>
      </c>
      <c r="F20" s="14">
        <f t="shared" si="5"/>
        <v>7.5451144409944063E-2</v>
      </c>
      <c r="G20" s="14">
        <f t="shared" si="5"/>
        <v>6.8000000000000005E-2</v>
      </c>
      <c r="H20" s="14">
        <f t="shared" si="5"/>
        <v>6.6000000000000003E-2</v>
      </c>
      <c r="I20" s="14">
        <f t="shared" si="5"/>
        <v>6.4000000000000001E-2</v>
      </c>
      <c r="J20" s="14">
        <f t="shared" si="5"/>
        <v>6.2E-2</v>
      </c>
      <c r="K20" s="14">
        <f t="shared" si="5"/>
        <v>0.06</v>
      </c>
    </row>
    <row r="21" spans="1:12" x14ac:dyDescent="0.25">
      <c r="A21" s="10" t="s">
        <v>97</v>
      </c>
      <c r="E21" s="11">
        <v>2.0099999999999998</v>
      </c>
      <c r="F21" s="11">
        <v>59.52</v>
      </c>
      <c r="G21" s="11">
        <v>12</v>
      </c>
      <c r="H21" s="11">
        <v>0</v>
      </c>
      <c r="I21" s="11">
        <v>0</v>
      </c>
      <c r="J21" s="11">
        <v>0</v>
      </c>
      <c r="K21" s="11">
        <v>0</v>
      </c>
      <c r="L21" s="2" t="s">
        <v>98</v>
      </c>
    </row>
    <row r="22" spans="1:12" x14ac:dyDescent="0.25">
      <c r="A22" s="10" t="s">
        <v>99</v>
      </c>
      <c r="E22" s="11">
        <v>63.36</v>
      </c>
      <c r="F22" s="11">
        <v>0.71</v>
      </c>
      <c r="G22" s="11">
        <v>24.56</v>
      </c>
      <c r="H22" s="11">
        <v>0</v>
      </c>
      <c r="I22" s="11">
        <v>0</v>
      </c>
      <c r="J22" s="11">
        <v>0</v>
      </c>
      <c r="K22" s="11">
        <v>0</v>
      </c>
      <c r="L22" s="2" t="s">
        <v>100</v>
      </c>
    </row>
    <row r="23" spans="1:12" x14ac:dyDescent="0.25">
      <c r="A23" s="3" t="s">
        <v>101</v>
      </c>
      <c r="B23" s="21">
        <v>132.26</v>
      </c>
      <c r="C23" s="21">
        <v>428.67</v>
      </c>
      <c r="D23" s="21">
        <v>366.77</v>
      </c>
      <c r="E23" s="21">
        <v>524.48</v>
      </c>
      <c r="F23" s="21">
        <v>798.81</v>
      </c>
      <c r="G23" s="15">
        <f>G17+G19+G21+G22</f>
        <v>925.69223000000011</v>
      </c>
      <c r="H23" s="15">
        <f>H17+H19+H21+H22</f>
        <v>942.62758055000018</v>
      </c>
      <c r="I23" s="15">
        <f>I17+I19+I21+I22</f>
        <v>983.00695059200007</v>
      </c>
      <c r="J23" s="15">
        <f>J17+J19+J21+J22</f>
        <v>1035.758551552512</v>
      </c>
      <c r="K23" s="15">
        <f>K17+K19+K21+K22</f>
        <v>1084.195127753741</v>
      </c>
      <c r="L23" s="2" t="s">
        <v>102</v>
      </c>
    </row>
    <row r="24" spans="1:12" x14ac:dyDescent="0.25">
      <c r="A24" s="10" t="s">
        <v>95</v>
      </c>
      <c r="B24" s="14">
        <f t="shared" ref="B24:K24" si="6">B23/B7</f>
        <v>0.42084831514302989</v>
      </c>
      <c r="C24" s="14">
        <f t="shared" si="6"/>
        <v>0.65584981869922432</v>
      </c>
      <c r="D24" s="14">
        <f t="shared" si="6"/>
        <v>0.27827347081227899</v>
      </c>
      <c r="E24" s="14">
        <f t="shared" si="6"/>
        <v>0.38689879020359985</v>
      </c>
      <c r="F24" s="14">
        <f t="shared" si="6"/>
        <v>0.3175841957324661</v>
      </c>
      <c r="G24" s="14">
        <f t="shared" si="6"/>
        <v>0.29463660437773131</v>
      </c>
      <c r="H24" s="14">
        <f t="shared" si="6"/>
        <v>0.28100000000000003</v>
      </c>
      <c r="I24" s="14">
        <f t="shared" si="6"/>
        <v>0.27400000000000002</v>
      </c>
      <c r="J24" s="14">
        <f t="shared" si="6"/>
        <v>0.27199999999999996</v>
      </c>
      <c r="K24" s="14">
        <f t="shared" si="6"/>
        <v>0.26999999999999996</v>
      </c>
    </row>
    <row r="25" spans="1:12" x14ac:dyDescent="0.25">
      <c r="A25" s="10" t="s">
        <v>103</v>
      </c>
      <c r="B25" s="11">
        <v>0</v>
      </c>
      <c r="C25" s="11">
        <v>0</v>
      </c>
      <c r="D25" s="11">
        <v>0</v>
      </c>
      <c r="E25" s="11">
        <v>0</v>
      </c>
      <c r="F25" s="11">
        <v>327.45999999999998</v>
      </c>
      <c r="G25" s="11">
        <v>85.29</v>
      </c>
      <c r="H25" s="11">
        <v>0</v>
      </c>
      <c r="I25" s="11">
        <v>0</v>
      </c>
      <c r="J25" s="11">
        <v>0</v>
      </c>
      <c r="K25" s="11">
        <v>0</v>
      </c>
      <c r="L25" s="2" t="s">
        <v>104</v>
      </c>
    </row>
    <row r="26" spans="1:12" x14ac:dyDescent="0.25">
      <c r="A26" s="10" t="s">
        <v>105</v>
      </c>
      <c r="B26" s="12">
        <f t="shared" ref="B26:K26" si="7">B23+B25</f>
        <v>132.26</v>
      </c>
      <c r="C26" s="12">
        <f t="shared" si="7"/>
        <v>428.67</v>
      </c>
      <c r="D26" s="12">
        <f t="shared" si="7"/>
        <v>366.77</v>
      </c>
      <c r="E26" s="12">
        <f t="shared" si="7"/>
        <v>524.48</v>
      </c>
      <c r="F26" s="12">
        <f t="shared" si="7"/>
        <v>1126.27</v>
      </c>
      <c r="G26" s="12">
        <f t="shared" si="7"/>
        <v>1010.9822300000001</v>
      </c>
      <c r="H26" s="12">
        <f t="shared" si="7"/>
        <v>942.62758055000018</v>
      </c>
      <c r="I26" s="12">
        <f t="shared" si="7"/>
        <v>983.00695059200007</v>
      </c>
      <c r="J26" s="12">
        <f t="shared" si="7"/>
        <v>1035.758551552512</v>
      </c>
      <c r="K26" s="12">
        <f t="shared" si="7"/>
        <v>1084.195127753741</v>
      </c>
    </row>
    <row r="27" spans="1:12" x14ac:dyDescent="0.25">
      <c r="A27" s="17" t="s">
        <v>106</v>
      </c>
      <c r="B27" s="18">
        <f t="shared" ref="B27:K27" si="8">B13-B26</f>
        <v>-4.0900000000000034</v>
      </c>
      <c r="C27" s="18">
        <f t="shared" si="8"/>
        <v>-157.80000000000001</v>
      </c>
      <c r="D27" s="18">
        <f t="shared" si="8"/>
        <v>266.37</v>
      </c>
      <c r="E27" s="18">
        <f t="shared" si="8"/>
        <v>155.70000000000016</v>
      </c>
      <c r="F27" s="18">
        <f t="shared" si="8"/>
        <v>141.05999999999995</v>
      </c>
      <c r="G27" s="18">
        <f t="shared" si="8"/>
        <v>522.2210500000001</v>
      </c>
      <c r="H27" s="18">
        <f t="shared" si="8"/>
        <v>734.64569445000006</v>
      </c>
      <c r="I27" s="18">
        <f t="shared" si="8"/>
        <v>828.73943644800011</v>
      </c>
      <c r="J27" s="18">
        <f t="shared" si="8"/>
        <v>906.2887326084483</v>
      </c>
      <c r="K27" s="18">
        <f t="shared" si="8"/>
        <v>963.72900244776974</v>
      </c>
    </row>
    <row r="28" spans="1:12" x14ac:dyDescent="0.25">
      <c r="A28" s="10" t="s">
        <v>107</v>
      </c>
      <c r="B28" s="14">
        <f t="shared" ref="B28:K28" si="9">B27/B7</f>
        <v>-1.3014287077990275E-2</v>
      </c>
      <c r="C28" s="14">
        <f t="shared" si="9"/>
        <v>-0.24142837471886908</v>
      </c>
      <c r="D28" s="14">
        <f t="shared" si="9"/>
        <v>0.20209860244912825</v>
      </c>
      <c r="E28" s="14">
        <f t="shared" si="9"/>
        <v>0.11485688993803493</v>
      </c>
      <c r="F28" s="14">
        <f t="shared" si="9"/>
        <v>5.6081454476060201E-2</v>
      </c>
      <c r="G28" s="14">
        <f t="shared" si="9"/>
        <v>0.16621662353866085</v>
      </c>
      <c r="H28" s="14">
        <f t="shared" si="9"/>
        <v>0.219</v>
      </c>
      <c r="I28" s="14">
        <f t="shared" si="9"/>
        <v>0.23100000000000001</v>
      </c>
      <c r="J28" s="14">
        <f t="shared" si="9"/>
        <v>0.23800000000000004</v>
      </c>
      <c r="K28" s="14">
        <f t="shared" si="9"/>
        <v>0.24</v>
      </c>
    </row>
    <row r="29" spans="1:12" x14ac:dyDescent="0.25">
      <c r="A29" s="10" t="s">
        <v>108</v>
      </c>
      <c r="B29" s="11">
        <v>1.26</v>
      </c>
      <c r="C29" s="11">
        <v>1.92</v>
      </c>
      <c r="D29" s="11">
        <v>3.23</v>
      </c>
      <c r="E29" s="11">
        <v>7.27</v>
      </c>
      <c r="F29" s="11">
        <v>29.45</v>
      </c>
      <c r="G29" s="13">
        <f>'Balance Sheet'!G68</f>
        <v>38.265599999999999</v>
      </c>
      <c r="H29" s="13">
        <f>'Balance Sheet'!H68</f>
        <v>43.555447999999998</v>
      </c>
      <c r="I29" s="13">
        <f>'Balance Sheet'!I68</f>
        <v>48.509488040000001</v>
      </c>
      <c r="J29" s="13">
        <f>'Balance Sheet'!J68</f>
        <v>52.656231155520004</v>
      </c>
      <c r="K29" s="13">
        <f>'Balance Sheet'!K68</f>
        <v>47.233010477539835</v>
      </c>
    </row>
    <row r="30" spans="1:12" x14ac:dyDescent="0.25">
      <c r="A30" s="3" t="s">
        <v>109</v>
      </c>
      <c r="B30" s="15">
        <f t="shared" ref="B30:K30" si="10">B27+B29</f>
        <v>-2.8300000000000036</v>
      </c>
      <c r="C30" s="15">
        <f t="shared" si="10"/>
        <v>-155.88000000000002</v>
      </c>
      <c r="D30" s="15">
        <f t="shared" si="10"/>
        <v>269.60000000000002</v>
      </c>
      <c r="E30" s="15">
        <f t="shared" si="10"/>
        <v>162.97000000000017</v>
      </c>
      <c r="F30" s="15">
        <f t="shared" si="10"/>
        <v>170.50999999999993</v>
      </c>
      <c r="G30" s="15">
        <f t="shared" si="10"/>
        <v>560.48665000000005</v>
      </c>
      <c r="H30" s="15">
        <f t="shared" si="10"/>
        <v>778.20114245000002</v>
      </c>
      <c r="I30" s="15">
        <f t="shared" si="10"/>
        <v>877.24892448800006</v>
      </c>
      <c r="J30" s="15">
        <f t="shared" si="10"/>
        <v>958.9449637639683</v>
      </c>
      <c r="K30" s="15">
        <f t="shared" si="10"/>
        <v>1010.9620129253096</v>
      </c>
    </row>
    <row r="31" spans="1:12" x14ac:dyDescent="0.25">
      <c r="A31" s="10" t="s">
        <v>110</v>
      </c>
      <c r="B31" s="14">
        <f t="shared" ref="B31:K31" si="11">B30/B7</f>
        <v>-9.0049957043306823E-3</v>
      </c>
      <c r="C31" s="14">
        <f t="shared" si="11"/>
        <v>-0.23849084316335434</v>
      </c>
      <c r="D31" s="14">
        <f t="shared" si="11"/>
        <v>0.20454924811459615</v>
      </c>
      <c r="E31" s="14">
        <f t="shared" si="11"/>
        <v>0.12021982885807034</v>
      </c>
      <c r="F31" s="14">
        <f t="shared" si="11"/>
        <v>6.7789939052268711E-2</v>
      </c>
      <c r="G31" s="14">
        <f t="shared" si="11"/>
        <v>0.17839609970049111</v>
      </c>
      <c r="H31" s="14">
        <f t="shared" si="11"/>
        <v>0.23198400464885482</v>
      </c>
      <c r="I31" s="14">
        <f t="shared" si="11"/>
        <v>0.24452136901469043</v>
      </c>
      <c r="J31" s="14">
        <f t="shared" si="11"/>
        <v>0.25182802473880933</v>
      </c>
      <c r="K31" s="14">
        <f t="shared" si="11"/>
        <v>0.25176256238612466</v>
      </c>
    </row>
    <row r="32" spans="1:12" x14ac:dyDescent="0.25">
      <c r="A32" s="10" t="s">
        <v>111</v>
      </c>
      <c r="B32" s="11">
        <v>36.479999999999997</v>
      </c>
      <c r="C32" s="11">
        <v>20.67</v>
      </c>
      <c r="D32" s="11">
        <v>21.23</v>
      </c>
      <c r="E32" s="11">
        <v>19.59</v>
      </c>
      <c r="F32" s="11">
        <v>28.05</v>
      </c>
      <c r="G32" s="12">
        <f>G7*G33</f>
        <v>36.130815000000005</v>
      </c>
      <c r="H32" s="12">
        <f>H7*H33</f>
        <v>38.577285325000005</v>
      </c>
      <c r="I32" s="12">
        <f>I7*I33</f>
        <v>41.257590992000004</v>
      </c>
      <c r="J32" s="12">
        <f>J7*J33</f>
        <v>43.791262289904004</v>
      </c>
      <c r="K32" s="12">
        <f>K7*K33</f>
        <v>46.178681367288966</v>
      </c>
    </row>
    <row r="33" spans="1:12" x14ac:dyDescent="0.25">
      <c r="A33" s="10" t="s">
        <v>95</v>
      </c>
      <c r="B33" s="14">
        <f>B32/B7</f>
        <v>0.11607853119928724</v>
      </c>
      <c r="C33" s="14">
        <f>C32/C7</f>
        <v>3.1624363152338554E-2</v>
      </c>
      <c r="D33" s="14">
        <f>D32/D7</f>
        <v>1.6107494575196127E-2</v>
      </c>
      <c r="E33" s="14">
        <f>E32/E7</f>
        <v>1.4451165535556209E-2</v>
      </c>
      <c r="F33" s="14">
        <f>F32/F7</f>
        <v>1.1151884290752086E-2</v>
      </c>
      <c r="G33" s="16">
        <v>1.15E-2</v>
      </c>
      <c r="H33" s="16">
        <v>1.15E-2</v>
      </c>
      <c r="I33" s="16">
        <v>1.15E-2</v>
      </c>
      <c r="J33" s="16">
        <v>1.15E-2</v>
      </c>
      <c r="K33" s="16">
        <v>1.15E-2</v>
      </c>
      <c r="L33" s="2" t="s">
        <v>112</v>
      </c>
    </row>
    <row r="34" spans="1:12" x14ac:dyDescent="0.25">
      <c r="A34" s="10" t="s">
        <v>113</v>
      </c>
      <c r="B34" s="12">
        <f t="shared" ref="B34:K34" si="12">B11+B21+B22+B25</f>
        <v>0</v>
      </c>
      <c r="C34" s="12">
        <f t="shared" si="12"/>
        <v>0</v>
      </c>
      <c r="D34" s="12">
        <f t="shared" si="12"/>
        <v>0</v>
      </c>
      <c r="E34" s="12">
        <f t="shared" si="12"/>
        <v>65.37</v>
      </c>
      <c r="F34" s="12">
        <f t="shared" si="12"/>
        <v>410.14</v>
      </c>
      <c r="G34" s="12">
        <f t="shared" si="12"/>
        <v>121.85000000000001</v>
      </c>
      <c r="H34" s="12">
        <f t="shared" si="12"/>
        <v>0</v>
      </c>
      <c r="I34" s="12">
        <f t="shared" si="12"/>
        <v>0</v>
      </c>
      <c r="J34" s="12">
        <f t="shared" si="12"/>
        <v>0</v>
      </c>
      <c r="K34" s="12">
        <f t="shared" si="12"/>
        <v>0</v>
      </c>
    </row>
    <row r="35" spans="1:12" x14ac:dyDescent="0.25">
      <c r="A35" s="3" t="s">
        <v>114</v>
      </c>
      <c r="B35" s="15">
        <f t="shared" ref="B35:K35" si="13">B30+B32+B34</f>
        <v>33.649999999999991</v>
      </c>
      <c r="C35" s="15">
        <f t="shared" si="13"/>
        <v>-135.21000000000004</v>
      </c>
      <c r="D35" s="15">
        <f t="shared" si="13"/>
        <v>290.83000000000004</v>
      </c>
      <c r="E35" s="15">
        <f t="shared" si="13"/>
        <v>247.93000000000018</v>
      </c>
      <c r="F35" s="15">
        <f t="shared" si="13"/>
        <v>608.69999999999993</v>
      </c>
      <c r="G35" s="15">
        <f t="shared" si="13"/>
        <v>718.46746500000006</v>
      </c>
      <c r="H35" s="15">
        <f t="shared" si="13"/>
        <v>816.77842777500007</v>
      </c>
      <c r="I35" s="15">
        <f t="shared" si="13"/>
        <v>918.50651548000008</v>
      </c>
      <c r="J35" s="15">
        <f t="shared" si="13"/>
        <v>1002.7362260538723</v>
      </c>
      <c r="K35" s="15">
        <f t="shared" si="13"/>
        <v>1057.1406942925987</v>
      </c>
      <c r="L35" s="2" t="s">
        <v>115</v>
      </c>
    </row>
    <row r="36" spans="1:12" x14ac:dyDescent="0.25">
      <c r="A36" s="10" t="s">
        <v>116</v>
      </c>
      <c r="B36" s="14">
        <f t="shared" ref="B36:K36" si="14">B35/B7</f>
        <v>0.10707353549495655</v>
      </c>
      <c r="C36" s="14">
        <f t="shared" si="14"/>
        <v>-0.20686648001101579</v>
      </c>
      <c r="D36" s="14">
        <f t="shared" si="14"/>
        <v>0.2206567426897923</v>
      </c>
      <c r="E36" s="14">
        <f t="shared" si="14"/>
        <v>0.18289318383003847</v>
      </c>
      <c r="F36" s="14">
        <f t="shared" si="14"/>
        <v>0.24200185268380728</v>
      </c>
      <c r="G36" s="14">
        <f t="shared" si="14"/>
        <v>0.22867947616183026</v>
      </c>
      <c r="H36" s="14">
        <f t="shared" si="14"/>
        <v>0.24348400464885483</v>
      </c>
      <c r="I36" s="14">
        <f t="shared" si="14"/>
        <v>0.25602136901469041</v>
      </c>
      <c r="J36" s="14">
        <f t="shared" si="14"/>
        <v>0.26332802473880934</v>
      </c>
      <c r="K36" s="14">
        <f t="shared" si="14"/>
        <v>0.26326256238612467</v>
      </c>
    </row>
    <row r="37" spans="1:12" x14ac:dyDescent="0.25">
      <c r="A37" s="10" t="s">
        <v>117</v>
      </c>
      <c r="E37" s="11">
        <v>255.71</v>
      </c>
      <c r="F37" s="11">
        <v>619.62</v>
      </c>
      <c r="L37" s="2" t="s">
        <v>118</v>
      </c>
    </row>
    <row r="38" spans="1:12" x14ac:dyDescent="0.25">
      <c r="A38" s="8" t="s">
        <v>119</v>
      </c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2" x14ac:dyDescent="0.25">
      <c r="A39" s="10" t="s">
        <v>120</v>
      </c>
      <c r="B39" s="11">
        <v>0.32</v>
      </c>
      <c r="C39" s="11">
        <v>0.24</v>
      </c>
      <c r="D39" s="11">
        <v>26.63</v>
      </c>
      <c r="E39" s="11">
        <v>39.26</v>
      </c>
      <c r="F39" s="11">
        <v>21.09</v>
      </c>
      <c r="G39" s="13">
        <f>'Cash Flow'!F38*'Balance Sheet'!G86</f>
        <v>13.499500000000001</v>
      </c>
      <c r="H39" s="13">
        <f>'Cash Flow'!G38*'Balance Sheet'!H86</f>
        <v>17.729874691181511</v>
      </c>
      <c r="I39" s="13">
        <f>'Cash Flow'!H38*'Balance Sheet'!I86</f>
        <v>24.012081675650975</v>
      </c>
      <c r="J39" s="13">
        <f>'Cash Flow'!I38*'Balance Sheet'!J86</f>
        <v>30.64902138493331</v>
      </c>
      <c r="K39" s="13">
        <f>'Cash Flow'!J38*'Balance Sheet'!K86</f>
        <v>37.912377947694488</v>
      </c>
      <c r="L39" s="2" t="s">
        <v>121</v>
      </c>
    </row>
    <row r="40" spans="1:12" x14ac:dyDescent="0.25">
      <c r="A40" s="10" t="s">
        <v>122</v>
      </c>
      <c r="B40" s="11">
        <v>0</v>
      </c>
      <c r="C40" s="11">
        <v>0</v>
      </c>
      <c r="D40" s="11">
        <v>0</v>
      </c>
      <c r="E40" s="11">
        <v>0</v>
      </c>
      <c r="F40" s="11">
        <v>-48.98</v>
      </c>
      <c r="G40" s="13">
        <f>-'Balance Sheet'!G85</f>
        <v>-45.456524999999999</v>
      </c>
      <c r="H40" s="13">
        <f>-'Balance Sheet'!H85</f>
        <v>-41.845275000000001</v>
      </c>
      <c r="I40" s="13">
        <f>-'Balance Sheet'!I85</f>
        <v>-35.095275000000001</v>
      </c>
      <c r="J40" s="13">
        <f>-'Balance Sheet'!J85</f>
        <v>-28.345274999999997</v>
      </c>
      <c r="K40" s="13">
        <f>-'Balance Sheet'!K85</f>
        <v>-21.595274999999997</v>
      </c>
    </row>
    <row r="41" spans="1:12" x14ac:dyDescent="0.25">
      <c r="A41" s="10" t="s">
        <v>123</v>
      </c>
      <c r="B41" s="11">
        <v>-0.28000000000000003</v>
      </c>
      <c r="C41" s="11">
        <v>4.9000000000000004</v>
      </c>
      <c r="D41" s="11">
        <v>-1.25</v>
      </c>
      <c r="E41" s="11">
        <v>0.06</v>
      </c>
      <c r="F41" s="11">
        <v>11.86</v>
      </c>
      <c r="G41" s="11">
        <v>15</v>
      </c>
      <c r="H41" s="11">
        <v>5</v>
      </c>
      <c r="I41" s="11">
        <v>5</v>
      </c>
      <c r="J41" s="11">
        <v>5</v>
      </c>
      <c r="K41" s="11">
        <v>5</v>
      </c>
      <c r="L41" s="2" t="s">
        <v>124</v>
      </c>
    </row>
    <row r="42" spans="1:12" x14ac:dyDescent="0.25">
      <c r="A42" s="10" t="s">
        <v>125</v>
      </c>
      <c r="B42" s="12">
        <f t="shared" ref="B42:K42" si="15">SUM(B39:B41)</f>
        <v>3.999999999999998E-2</v>
      </c>
      <c r="C42" s="12">
        <f t="shared" si="15"/>
        <v>5.1400000000000006</v>
      </c>
      <c r="D42" s="12">
        <f t="shared" si="15"/>
        <v>25.38</v>
      </c>
      <c r="E42" s="12">
        <f t="shared" si="15"/>
        <v>39.32</v>
      </c>
      <c r="F42" s="12">
        <f t="shared" si="15"/>
        <v>-16.029999999999998</v>
      </c>
      <c r="G42" s="12">
        <f t="shared" si="15"/>
        <v>-16.957024999999998</v>
      </c>
      <c r="H42" s="12">
        <f t="shared" si="15"/>
        <v>-19.11540030881849</v>
      </c>
      <c r="I42" s="12">
        <f t="shared" si="15"/>
        <v>-6.0831933243490255</v>
      </c>
      <c r="J42" s="12">
        <f t="shared" si="15"/>
        <v>7.3037463849333122</v>
      </c>
      <c r="K42" s="12">
        <f t="shared" si="15"/>
        <v>21.31710294769449</v>
      </c>
    </row>
    <row r="43" spans="1:12" x14ac:dyDescent="0.25">
      <c r="A43" s="17" t="s">
        <v>126</v>
      </c>
      <c r="B43" s="18">
        <f t="shared" ref="B43:K43" si="16">B27+B42</f>
        <v>-4.0500000000000034</v>
      </c>
      <c r="C43" s="18">
        <f t="shared" si="16"/>
        <v>-152.66000000000003</v>
      </c>
      <c r="D43" s="18">
        <f t="shared" si="16"/>
        <v>291.75</v>
      </c>
      <c r="E43" s="18">
        <f t="shared" si="16"/>
        <v>195.02000000000015</v>
      </c>
      <c r="F43" s="18">
        <f t="shared" si="16"/>
        <v>125.02999999999994</v>
      </c>
      <c r="G43" s="18">
        <f t="shared" si="16"/>
        <v>505.26402500000012</v>
      </c>
      <c r="H43" s="18">
        <f t="shared" si="16"/>
        <v>715.53029414118157</v>
      </c>
      <c r="I43" s="18">
        <f t="shared" si="16"/>
        <v>822.65624312365105</v>
      </c>
      <c r="J43" s="18">
        <f t="shared" si="16"/>
        <v>913.59247899338163</v>
      </c>
      <c r="K43" s="18">
        <f t="shared" si="16"/>
        <v>985.04610539546422</v>
      </c>
    </row>
    <row r="44" spans="1:12" x14ac:dyDescent="0.25">
      <c r="A44" s="10" t="s">
        <v>127</v>
      </c>
      <c r="B44" s="11">
        <v>-8</v>
      </c>
      <c r="C44" s="11">
        <v>34.619999999999997</v>
      </c>
      <c r="D44" s="11">
        <v>64.95</v>
      </c>
      <c r="E44" s="11">
        <v>49.98</v>
      </c>
      <c r="F44" s="11">
        <v>17.03</v>
      </c>
      <c r="G44" s="12">
        <f>G43*G45</f>
        <v>116.21072575000004</v>
      </c>
      <c r="H44" s="12">
        <f>H43*H45</f>
        <v>164.57196765247176</v>
      </c>
      <c r="I44" s="12">
        <f>I43*I45</f>
        <v>189.21093591843976</v>
      </c>
      <c r="J44" s="12">
        <f>J43*J45</f>
        <v>210.12627016847779</v>
      </c>
      <c r="K44" s="12">
        <f>K43*K45</f>
        <v>226.56060424095679</v>
      </c>
    </row>
    <row r="45" spans="1:12" x14ac:dyDescent="0.25">
      <c r="A45" s="10" t="s">
        <v>128</v>
      </c>
      <c r="B45" s="14">
        <f>IFERROR(B44/B43,0)</f>
        <v>1.975308641975307</v>
      </c>
      <c r="C45" s="14">
        <f>IFERROR(C44/C43,0)</f>
        <v>-0.22677846194156945</v>
      </c>
      <c r="D45" s="14">
        <f>IFERROR(D44/D43,0)</f>
        <v>0.22262210796915169</v>
      </c>
      <c r="E45" s="14">
        <f>IFERROR(E44/E43,0)</f>
        <v>0.25628140703517566</v>
      </c>
      <c r="F45" s="14">
        <f>IFERROR(F44/F43,0)</f>
        <v>0.13620731024554114</v>
      </c>
      <c r="G45" s="16">
        <v>0.23</v>
      </c>
      <c r="H45" s="16">
        <v>0.23</v>
      </c>
      <c r="I45" s="16">
        <v>0.23</v>
      </c>
      <c r="J45" s="16">
        <v>0.23</v>
      </c>
      <c r="K45" s="16">
        <v>0.23</v>
      </c>
      <c r="L45" s="2" t="s">
        <v>129</v>
      </c>
    </row>
    <row r="46" spans="1:12" x14ac:dyDescent="0.25">
      <c r="A46" s="17" t="s">
        <v>130</v>
      </c>
      <c r="B46" s="18">
        <f t="shared" ref="B46:K46" si="17">B43-B44</f>
        <v>3.9499999999999966</v>
      </c>
      <c r="C46" s="18">
        <f t="shared" si="17"/>
        <v>-187.28000000000003</v>
      </c>
      <c r="D46" s="18">
        <f t="shared" si="17"/>
        <v>226.8</v>
      </c>
      <c r="E46" s="18">
        <f t="shared" si="17"/>
        <v>145.04000000000016</v>
      </c>
      <c r="F46" s="18">
        <f t="shared" si="17"/>
        <v>107.99999999999994</v>
      </c>
      <c r="G46" s="18">
        <f t="shared" si="17"/>
        <v>389.05329925000007</v>
      </c>
      <c r="H46" s="18">
        <f t="shared" si="17"/>
        <v>550.95832648870987</v>
      </c>
      <c r="I46" s="18">
        <f t="shared" si="17"/>
        <v>633.44530720521129</v>
      </c>
      <c r="J46" s="18">
        <f t="shared" si="17"/>
        <v>703.46620882490379</v>
      </c>
      <c r="K46" s="18">
        <f t="shared" si="17"/>
        <v>758.48550115450746</v>
      </c>
    </row>
    <row r="47" spans="1:12" x14ac:dyDescent="0.25">
      <c r="A47" s="10" t="s">
        <v>131</v>
      </c>
      <c r="B47" s="14">
        <f t="shared" ref="B47:K47" si="18">B46/B7</f>
        <v>1.2568810258694742E-2</v>
      </c>
      <c r="C47" s="14">
        <f t="shared" si="18"/>
        <v>-0.28653172381083525</v>
      </c>
      <c r="D47" s="14">
        <f t="shared" si="18"/>
        <v>0.1720762962625757</v>
      </c>
      <c r="E47" s="14">
        <f t="shared" si="18"/>
        <v>0.10699321333726775</v>
      </c>
      <c r="F47" s="14">
        <f t="shared" si="18"/>
        <v>4.2937736306639024E-2</v>
      </c>
      <c r="G47" s="14">
        <f t="shared" si="18"/>
        <v>0.12383094434418378</v>
      </c>
      <c r="H47" s="14">
        <f t="shared" si="18"/>
        <v>0.16424226591481039</v>
      </c>
      <c r="I47" s="14">
        <f t="shared" si="18"/>
        <v>0.17656438143158781</v>
      </c>
      <c r="J47" s="14">
        <f t="shared" si="18"/>
        <v>0.18473688536152327</v>
      </c>
      <c r="K47" s="14">
        <f t="shared" si="18"/>
        <v>0.1888876642860475</v>
      </c>
    </row>
    <row r="48" spans="1:12" x14ac:dyDescent="0.25">
      <c r="A48" s="10" t="s">
        <v>132</v>
      </c>
      <c r="B48" s="11">
        <v>0</v>
      </c>
      <c r="C48" s="11">
        <v>11.53</v>
      </c>
      <c r="D48" s="11">
        <v>27.5</v>
      </c>
      <c r="E48" s="11">
        <v>27.5</v>
      </c>
      <c r="F48" s="11">
        <v>37.61</v>
      </c>
      <c r="G48" s="13">
        <f>'Balance Sheet'!G99</f>
        <v>56.75</v>
      </c>
      <c r="H48" s="13">
        <f>'Balance Sheet'!H99</f>
        <v>56.75</v>
      </c>
      <c r="I48" s="13">
        <f>'Balance Sheet'!I99</f>
        <v>56.75</v>
      </c>
      <c r="J48" s="13">
        <f>'Balance Sheet'!J99</f>
        <v>56.75</v>
      </c>
      <c r="K48" s="13">
        <f>'Balance Sheet'!K99</f>
        <v>56.75</v>
      </c>
    </row>
    <row r="49" spans="1:12" x14ac:dyDescent="0.25">
      <c r="A49" s="10" t="s">
        <v>133</v>
      </c>
      <c r="B49" s="11">
        <v>0</v>
      </c>
      <c r="C49" s="11">
        <v>0</v>
      </c>
      <c r="D49" s="11">
        <v>17.309999999999999</v>
      </c>
      <c r="E49" s="11">
        <v>10.119999999999999</v>
      </c>
      <c r="F49" s="11">
        <v>6.55</v>
      </c>
      <c r="G49" s="13">
        <f>MAX(0,G46-G48)*'Balance Sheet'!G102</f>
        <v>38.532345492287988</v>
      </c>
      <c r="H49" s="13">
        <f>MAX(0,H46-H48)*'Balance Sheet'!H102</f>
        <v>58.379378847889434</v>
      </c>
      <c r="I49" s="13">
        <f>MAX(0,I46-I48)*'Balance Sheet'!I102</f>
        <v>69.346727617625589</v>
      </c>
      <c r="J49" s="13">
        <f>MAX(0,J46-J48)*'Balance Sheet'!J102</f>
        <v>79.401604885891999</v>
      </c>
      <c r="K49" s="13">
        <f>MAX(0,K46-K48)*'Balance Sheet'!K102</f>
        <v>88.187208953600631</v>
      </c>
      <c r="L49" s="2" t="s">
        <v>134</v>
      </c>
    </row>
    <row r="50" spans="1:12" x14ac:dyDescent="0.25">
      <c r="A50" s="3" t="s">
        <v>135</v>
      </c>
      <c r="B50" s="15">
        <f t="shared" ref="B50:K50" si="19">B46-B48-B49</f>
        <v>3.9499999999999966</v>
      </c>
      <c r="C50" s="15">
        <f t="shared" si="19"/>
        <v>-198.81000000000003</v>
      </c>
      <c r="D50" s="15">
        <f t="shared" si="19"/>
        <v>181.99</v>
      </c>
      <c r="E50" s="15">
        <f t="shared" si="19"/>
        <v>107.42000000000016</v>
      </c>
      <c r="F50" s="15">
        <f t="shared" si="19"/>
        <v>63.839999999999947</v>
      </c>
      <c r="G50" s="15">
        <f t="shared" si="19"/>
        <v>293.77095375771205</v>
      </c>
      <c r="H50" s="15">
        <f t="shared" si="19"/>
        <v>435.82894764082045</v>
      </c>
      <c r="I50" s="15">
        <f t="shared" si="19"/>
        <v>507.34857958758573</v>
      </c>
      <c r="J50" s="15">
        <f t="shared" si="19"/>
        <v>567.31460393901182</v>
      </c>
      <c r="K50" s="15">
        <f t="shared" si="19"/>
        <v>613.54829220090687</v>
      </c>
    </row>
    <row r="51" spans="1:12" x14ac:dyDescent="0.25">
      <c r="A51" s="8" t="s">
        <v>136</v>
      </c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2" x14ac:dyDescent="0.25">
      <c r="A52" s="10" t="s">
        <v>137</v>
      </c>
      <c r="B52" s="11">
        <v>197</v>
      </c>
      <c r="C52" s="11">
        <v>226</v>
      </c>
      <c r="D52" s="11">
        <v>231</v>
      </c>
      <c r="E52" s="11">
        <v>234</v>
      </c>
      <c r="F52" s="11">
        <v>252</v>
      </c>
      <c r="G52" s="13">
        <f>'Balance Sheet'!G94</f>
        <v>253.91000000000003</v>
      </c>
      <c r="H52" s="13">
        <f>'Balance Sheet'!H94</f>
        <v>248.62969696969699</v>
      </c>
      <c r="I52" s="13">
        <f>'Balance Sheet'!I94</f>
        <v>243.65586776859504</v>
      </c>
      <c r="J52" s="13">
        <f>'Balance Sheet'!J94</f>
        <v>237.95294310155555</v>
      </c>
      <c r="K52" s="13">
        <f>'Balance Sheet'!K94</f>
        <v>231.70721203128306</v>
      </c>
    </row>
    <row r="53" spans="1:12" x14ac:dyDescent="0.25">
      <c r="A53" s="10" t="s">
        <v>138</v>
      </c>
      <c r="B53" s="12">
        <f>B54-B52</f>
        <v>0</v>
      </c>
      <c r="C53" s="12">
        <f>C54-C52</f>
        <v>0</v>
      </c>
      <c r="D53" s="12">
        <f>D54-D52</f>
        <v>6</v>
      </c>
      <c r="E53" s="12">
        <f>E54-E52</f>
        <v>3</v>
      </c>
      <c r="F53" s="12">
        <f>F54-F52</f>
        <v>3</v>
      </c>
      <c r="G53" s="11">
        <v>2.5</v>
      </c>
      <c r="H53" s="11">
        <v>2.5</v>
      </c>
      <c r="I53" s="11">
        <v>2.5</v>
      </c>
      <c r="J53" s="11">
        <v>2.5</v>
      </c>
      <c r="K53" s="11">
        <v>2.5</v>
      </c>
    </row>
    <row r="54" spans="1:12" x14ac:dyDescent="0.25">
      <c r="A54" s="10" t="s">
        <v>139</v>
      </c>
      <c r="B54" s="11">
        <v>197</v>
      </c>
      <c r="C54" s="11">
        <v>226</v>
      </c>
      <c r="D54" s="11">
        <v>237</v>
      </c>
      <c r="E54" s="11">
        <v>237</v>
      </c>
      <c r="F54" s="11">
        <v>255</v>
      </c>
      <c r="G54" s="12">
        <f>G52+G53</f>
        <v>256.41000000000003</v>
      </c>
      <c r="H54" s="12">
        <f>H52+H53</f>
        <v>251.12969696969699</v>
      </c>
      <c r="I54" s="12">
        <f>I52+I53</f>
        <v>246.15586776859504</v>
      </c>
      <c r="J54" s="12">
        <f>J52+J53</f>
        <v>240.45294310155555</v>
      </c>
      <c r="K54" s="12">
        <f>K52+K53</f>
        <v>234.20721203128306</v>
      </c>
    </row>
    <row r="55" spans="1:12" x14ac:dyDescent="0.25">
      <c r="A55" s="10" t="s">
        <v>140</v>
      </c>
      <c r="B55" s="22">
        <f t="shared" ref="B55:K55" si="20">B50/B52</f>
        <v>2.0050761421319781E-2</v>
      </c>
      <c r="C55" s="22">
        <f t="shared" si="20"/>
        <v>-0.8796902654867258</v>
      </c>
      <c r="D55" s="22">
        <f t="shared" si="20"/>
        <v>0.78783549783549789</v>
      </c>
      <c r="E55" s="22">
        <f t="shared" si="20"/>
        <v>0.45905982905982973</v>
      </c>
      <c r="F55" s="22">
        <f t="shared" si="20"/>
        <v>0.25333333333333313</v>
      </c>
      <c r="G55" s="22">
        <f t="shared" si="20"/>
        <v>1.1569885146615415</v>
      </c>
      <c r="H55" s="22">
        <f t="shared" si="20"/>
        <v>1.7529239385025648</v>
      </c>
      <c r="I55" s="22">
        <f t="shared" si="20"/>
        <v>2.0822341946200327</v>
      </c>
      <c r="J55" s="22">
        <f t="shared" si="20"/>
        <v>2.3841461952285607</v>
      </c>
      <c r="K55" s="22">
        <f t="shared" si="20"/>
        <v>2.6479464614941333</v>
      </c>
    </row>
    <row r="56" spans="1:12" x14ac:dyDescent="0.25">
      <c r="A56" s="3" t="s">
        <v>141</v>
      </c>
      <c r="B56" s="23">
        <f t="shared" ref="B56:K56" si="21">B50/B54</f>
        <v>2.0050761421319781E-2</v>
      </c>
      <c r="C56" s="23">
        <f t="shared" si="21"/>
        <v>-0.8796902654867258</v>
      </c>
      <c r="D56" s="23">
        <f t="shared" si="21"/>
        <v>0.76789029535864983</v>
      </c>
      <c r="E56" s="23">
        <f t="shared" si="21"/>
        <v>0.45324894514767999</v>
      </c>
      <c r="F56" s="23">
        <f t="shared" si="21"/>
        <v>0.25035294117647039</v>
      </c>
      <c r="G56" s="23">
        <f t="shared" si="21"/>
        <v>1.1457078653629422</v>
      </c>
      <c r="H56" s="23">
        <f t="shared" si="21"/>
        <v>1.7354735537048434</v>
      </c>
      <c r="I56" s="23">
        <f t="shared" si="21"/>
        <v>2.0610866772614633</v>
      </c>
      <c r="J56" s="23">
        <f t="shared" si="21"/>
        <v>2.3593581206423657</v>
      </c>
      <c r="K56" s="23">
        <f t="shared" si="21"/>
        <v>2.6196814644587256</v>
      </c>
      <c r="L56" s="2" t="s">
        <v>142</v>
      </c>
    </row>
    <row r="57" spans="1:12" x14ac:dyDescent="0.25">
      <c r="A57" s="10" t="s">
        <v>37</v>
      </c>
      <c r="G57" s="14">
        <f>IFERROR(G56/F56-1,0)</f>
        <v>3.5763707028125076</v>
      </c>
      <c r="H57" s="14">
        <f>IFERROR(H56/G56-1,0)</f>
        <v>0.51476096671036875</v>
      </c>
      <c r="I57" s="14">
        <f>IFERROR(I56/H56-1,0)</f>
        <v>0.18762206019302896</v>
      </c>
      <c r="J57" s="14">
        <f>IFERROR(J56/I56-1,0)</f>
        <v>0.14471562339979394</v>
      </c>
      <c r="K57" s="14">
        <f>IFERROR(K56/J56-1,0)</f>
        <v>0.11033651124801835</v>
      </c>
    </row>
    <row r="58" spans="1:12" x14ac:dyDescent="0.25">
      <c r="A58" s="3" t="s">
        <v>143</v>
      </c>
      <c r="E58" s="24">
        <v>0.7</v>
      </c>
      <c r="F58" s="24">
        <v>1.34</v>
      </c>
      <c r="G58" s="25">
        <f>((G46+G34*(1-G45))-G48)*(1-'Balance Sheet'!G102)/G54</f>
        <v>1.4691938730443583</v>
      </c>
      <c r="H58" s="25">
        <f>((H46+H34*(1-H45))-H48)*(1-'Balance Sheet'!H102)/H54</f>
        <v>1.7354735537048434</v>
      </c>
      <c r="I58" s="25">
        <f>((I46+I34*(1-I45))-I48)*(1-'Balance Sheet'!I102)/I54</f>
        <v>2.0610866772614633</v>
      </c>
      <c r="J58" s="25">
        <f>((J46+J34*(1-J45))-J48)*(1-'Balance Sheet'!J102)/J54</f>
        <v>2.3593581206423657</v>
      </c>
      <c r="K58" s="25">
        <f>((K46+K34*(1-K45))-K48)*(1-'Balance Sheet'!K102)/K54</f>
        <v>2.6196814644587256</v>
      </c>
      <c r="L58" s="2" t="s">
        <v>144</v>
      </c>
    </row>
    <row r="59" spans="1:12" x14ac:dyDescent="0.25">
      <c r="A59" s="10" t="s">
        <v>37</v>
      </c>
      <c r="G59" s="14">
        <f>G58/F58-1</f>
        <v>9.6413338092804723E-2</v>
      </c>
      <c r="H59" s="14">
        <f>H58/G58-1</f>
        <v>0.18124203043994425</v>
      </c>
      <c r="I59" s="14">
        <f>I58/H58-1</f>
        <v>0.18762206019302896</v>
      </c>
      <c r="J59" s="14">
        <f>J58/I58-1</f>
        <v>0.14471562339979394</v>
      </c>
      <c r="K59" s="14">
        <f>K58/J58-1</f>
        <v>0.11033651124801835</v>
      </c>
    </row>
    <row r="61" spans="1:12" x14ac:dyDescent="0.25">
      <c r="A61" s="2" t="s">
        <v>145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F5597"/>
  </sheetPr>
  <dimension ref="A1:L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52" customWidth="1"/>
    <col min="2" max="11" width="11" customWidth="1"/>
    <col min="12" max="12" width="90" customWidth="1"/>
  </cols>
  <sheetData>
    <row r="1" spans="1:12" ht="18" x14ac:dyDescent="0.25">
      <c r="A1" s="1" t="s">
        <v>146</v>
      </c>
    </row>
    <row r="2" spans="1:12" x14ac:dyDescent="0.25">
      <c r="A2" s="2" t="s">
        <v>1</v>
      </c>
    </row>
    <row r="3" spans="1:12" x14ac:dyDescent="0.25">
      <c r="A3" s="3" t="s">
        <v>2</v>
      </c>
      <c r="B3" s="4" t="str">
        <f>CHOOSE(Scenarios!$C$4,"Bull case","Base case","Bear case")</f>
        <v>Base case</v>
      </c>
    </row>
    <row r="5" spans="1:12" x14ac:dyDescent="0.2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6" t="s">
        <v>14</v>
      </c>
    </row>
    <row r="6" spans="1:12" x14ac:dyDescent="0.25">
      <c r="A6" s="8" t="s">
        <v>147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x14ac:dyDescent="0.25">
      <c r="A7" s="10" t="s">
        <v>148</v>
      </c>
      <c r="B7" s="13">
        <f>'Income Statement'!B46</f>
        <v>3.9499999999999966</v>
      </c>
      <c r="C7" s="13">
        <f>'Income Statement'!C46</f>
        <v>-187.28000000000003</v>
      </c>
      <c r="D7" s="13">
        <f>'Income Statement'!D46</f>
        <v>226.8</v>
      </c>
      <c r="E7" s="13">
        <f>'Income Statement'!E46</f>
        <v>145.04000000000016</v>
      </c>
      <c r="F7" s="13">
        <f>'Income Statement'!F46</f>
        <v>107.99999999999994</v>
      </c>
      <c r="G7" s="13">
        <f>'Income Statement'!G46</f>
        <v>389.05329925000007</v>
      </c>
      <c r="H7" s="13">
        <f>'Income Statement'!H46</f>
        <v>550.95832648870987</v>
      </c>
      <c r="I7" s="13">
        <f>'Income Statement'!I46</f>
        <v>633.44530720521129</v>
      </c>
      <c r="J7" s="13">
        <f>'Income Statement'!J46</f>
        <v>703.46620882490379</v>
      </c>
      <c r="K7" s="13">
        <f>'Income Statement'!K46</f>
        <v>758.48550115450746</v>
      </c>
    </row>
    <row r="8" spans="1:12" x14ac:dyDescent="0.25">
      <c r="A8" s="10" t="s">
        <v>149</v>
      </c>
      <c r="B8" s="13">
        <f>'Income Statement'!B29</f>
        <v>1.26</v>
      </c>
      <c r="C8" s="13">
        <f>'Income Statement'!C29</f>
        <v>1.92</v>
      </c>
      <c r="D8" s="13">
        <f>'Income Statement'!D29</f>
        <v>3.23</v>
      </c>
      <c r="E8" s="13">
        <f>'Income Statement'!E29</f>
        <v>7.27</v>
      </c>
      <c r="F8" s="13">
        <f>'Income Statement'!F29</f>
        <v>29.45</v>
      </c>
      <c r="G8" s="13">
        <f>'Income Statement'!G29</f>
        <v>38.265599999999999</v>
      </c>
      <c r="H8" s="13">
        <f>'Income Statement'!H29</f>
        <v>43.555447999999998</v>
      </c>
      <c r="I8" s="13">
        <f>'Income Statement'!I29</f>
        <v>48.509488040000001</v>
      </c>
      <c r="J8" s="13">
        <f>'Income Statement'!J29</f>
        <v>52.656231155520004</v>
      </c>
      <c r="K8" s="13">
        <f>'Income Statement'!K29</f>
        <v>47.233010477539835</v>
      </c>
    </row>
    <row r="9" spans="1:12" x14ac:dyDescent="0.25">
      <c r="A9" s="10" t="s">
        <v>111</v>
      </c>
      <c r="B9" s="13">
        <f>'Income Statement'!B32</f>
        <v>36.479999999999997</v>
      </c>
      <c r="C9" s="13">
        <f>'Income Statement'!C32</f>
        <v>20.67</v>
      </c>
      <c r="D9" s="13">
        <f>'Income Statement'!D32</f>
        <v>21.23</v>
      </c>
      <c r="E9" s="13">
        <f>'Income Statement'!E32</f>
        <v>19.59</v>
      </c>
      <c r="F9" s="13">
        <f>'Income Statement'!F32</f>
        <v>28.05</v>
      </c>
      <c r="G9" s="13">
        <f>'Income Statement'!G32</f>
        <v>36.130815000000005</v>
      </c>
      <c r="H9" s="13">
        <f>'Income Statement'!H32</f>
        <v>38.577285325000005</v>
      </c>
      <c r="I9" s="13">
        <f>'Income Statement'!I32</f>
        <v>41.257590992000004</v>
      </c>
      <c r="J9" s="13">
        <f>'Income Statement'!J32</f>
        <v>43.791262289904004</v>
      </c>
      <c r="K9" s="13">
        <f>'Income Statement'!K32</f>
        <v>46.178681367288966</v>
      </c>
    </row>
    <row r="10" spans="1:12" x14ac:dyDescent="0.25">
      <c r="A10" s="10" t="s">
        <v>150</v>
      </c>
      <c r="B10" s="11">
        <v>0</v>
      </c>
      <c r="C10" s="11">
        <v>5.89</v>
      </c>
      <c r="D10" s="11">
        <v>14.12</v>
      </c>
      <c r="E10" s="11">
        <v>14.12</v>
      </c>
      <c r="F10" s="11">
        <v>26.33</v>
      </c>
      <c r="G10" s="13">
        <f>'Balance Sheet'!G72</f>
        <v>49.5</v>
      </c>
      <c r="H10" s="13">
        <f>'Balance Sheet'!H72</f>
        <v>49.5</v>
      </c>
      <c r="I10" s="13">
        <f>'Balance Sheet'!I72</f>
        <v>49.5</v>
      </c>
      <c r="J10" s="13">
        <f>'Balance Sheet'!J72</f>
        <v>49.5</v>
      </c>
      <c r="K10" s="13">
        <f>'Balance Sheet'!K72</f>
        <v>49.5</v>
      </c>
    </row>
    <row r="11" spans="1:12" x14ac:dyDescent="0.25">
      <c r="A11" s="10" t="s">
        <v>151</v>
      </c>
      <c r="B11" s="11">
        <v>1.49</v>
      </c>
      <c r="C11" s="11">
        <v>2.35</v>
      </c>
      <c r="D11" s="11">
        <v>2.13</v>
      </c>
      <c r="E11" s="11">
        <v>3.29</v>
      </c>
      <c r="F11" s="11">
        <v>10.6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spans="1:12" x14ac:dyDescent="0.25">
      <c r="A12" s="10" t="s">
        <v>152</v>
      </c>
      <c r="B12" s="11">
        <v>-5.99</v>
      </c>
      <c r="C12" s="11">
        <v>29.24</v>
      </c>
      <c r="D12" s="11">
        <v>-33.299999999999997</v>
      </c>
      <c r="E12" s="11">
        <v>10.94</v>
      </c>
      <c r="F12" s="11">
        <v>-10.029999999999999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spans="1:12" x14ac:dyDescent="0.25">
      <c r="A13" s="10" t="s">
        <v>153</v>
      </c>
    </row>
    <row r="14" spans="1:12" x14ac:dyDescent="0.25">
      <c r="A14" s="10" t="s">
        <v>154</v>
      </c>
      <c r="B14" s="11">
        <v>-25.25</v>
      </c>
      <c r="C14" s="11">
        <v>-26.37</v>
      </c>
      <c r="D14" s="11">
        <v>-121.56</v>
      </c>
      <c r="E14" s="11">
        <v>-87.35</v>
      </c>
      <c r="F14" s="11">
        <v>-412.09</v>
      </c>
      <c r="G14" s="13">
        <f>'Balance Sheet'!F9-'Balance Sheet'!G9</f>
        <v>23.845616438356046</v>
      </c>
      <c r="H14" s="13">
        <f>'Balance Sheet'!G9-'Balance Sheet'!H9</f>
        <v>-49.541388356164248</v>
      </c>
      <c r="I14" s="13">
        <f>'Balance Sheet'!H9-'Balance Sheet'!I9</f>
        <v>-54.27658884931509</v>
      </c>
      <c r="J14" s="13">
        <f>'Balance Sheet'!I9-'Balance Sheet'!J9</f>
        <v>-51.307221041534376</v>
      </c>
      <c r="K14" s="13">
        <f>'Balance Sheet'!J9-'Balance Sheet'!K9</f>
        <v>-48.345591799338195</v>
      </c>
    </row>
    <row r="15" spans="1:12" x14ac:dyDescent="0.25">
      <c r="A15" s="10" t="s">
        <v>155</v>
      </c>
      <c r="B15" s="11">
        <v>-175.17</v>
      </c>
      <c r="C15" s="11">
        <v>11.8</v>
      </c>
      <c r="D15" s="11">
        <v>-63.3</v>
      </c>
      <c r="E15" s="11">
        <v>77.19</v>
      </c>
      <c r="F15" s="11">
        <v>-129.78</v>
      </c>
      <c r="G15" s="13">
        <f>'Balance Sheet'!F10-'Balance Sheet'!G10</f>
        <v>-36.907044383561697</v>
      </c>
      <c r="H15" s="13">
        <f>'Balance Sheet'!G10-'Balance Sheet'!H10</f>
        <v>6.9855046575342499</v>
      </c>
      <c r="I15" s="13">
        <f>'Balance Sheet'!H10-'Balance Sheet'!I10</f>
        <v>-21.610289525479402</v>
      </c>
      <c r="J15" s="13">
        <f>'Balance Sheet'!I10-'Balance Sheet'!J10</f>
        <v>-19.730048476721151</v>
      </c>
      <c r="K15" s="13">
        <f>'Balance Sheet'!J10-'Balance Sheet'!K10</f>
        <v>-22.29584939451837</v>
      </c>
    </row>
    <row r="16" spans="1:12" x14ac:dyDescent="0.25">
      <c r="A16" s="10" t="s">
        <v>156</v>
      </c>
      <c r="B16" s="11">
        <v>23.97</v>
      </c>
      <c r="C16" s="11">
        <v>0.43</v>
      </c>
      <c r="D16" s="11">
        <v>5.25</v>
      </c>
      <c r="E16" s="11">
        <v>-1.17</v>
      </c>
      <c r="F16" s="11">
        <v>51.25</v>
      </c>
      <c r="G16" s="13">
        <f>'Balance Sheet'!G23-'Balance Sheet'!F23</f>
        <v>47.169951342465794</v>
      </c>
      <c r="H16" s="13">
        <f>'Balance Sheet'!H23-'Balance Sheet'!G23</f>
        <v>7.9013570136986004</v>
      </c>
      <c r="I16" s="13">
        <f>'Balance Sheet'!I23-'Balance Sheet'!H23</f>
        <v>11.345402000876703</v>
      </c>
      <c r="J16" s="13">
        <f>'Balance Sheet'!J23-'Balance Sheet'!I23</f>
        <v>10.358275450278626</v>
      </c>
      <c r="K16" s="13">
        <f>'Balance Sheet'!K23-'Balance Sheet'!J23</f>
        <v>11.705320932122078</v>
      </c>
    </row>
    <row r="17" spans="1:12" x14ac:dyDescent="0.25">
      <c r="A17" s="10" t="s">
        <v>157</v>
      </c>
      <c r="B17" s="11">
        <v>0</v>
      </c>
      <c r="C17" s="11">
        <v>189.46</v>
      </c>
      <c r="D17" s="11">
        <v>-12.72</v>
      </c>
      <c r="E17" s="11">
        <v>-9.51</v>
      </c>
      <c r="F17" s="11">
        <v>255.11</v>
      </c>
      <c r="G17" s="13">
        <f>('Balance Sheet'!G29+'Balance Sheet'!G33)-('Balance Sheet'!F29+'Balance Sheet'!F33)</f>
        <v>60.000000000000057</v>
      </c>
      <c r="H17" s="13">
        <f>('Balance Sheet'!H29+'Balance Sheet'!H33)-('Balance Sheet'!G29+'Balance Sheet'!G33)</f>
        <v>-30</v>
      </c>
      <c r="I17" s="13">
        <f>('Balance Sheet'!I29+'Balance Sheet'!I33)-('Balance Sheet'!H29+'Balance Sheet'!H33)</f>
        <v>-30</v>
      </c>
      <c r="J17" s="13">
        <f>('Balance Sheet'!J29+'Balance Sheet'!J33)-('Balance Sheet'!I29+'Balance Sheet'!I33)</f>
        <v>-30</v>
      </c>
      <c r="K17" s="13">
        <f>('Balance Sheet'!K29+'Balance Sheet'!K33)-('Balance Sheet'!J29+'Balance Sheet'!J33)</f>
        <v>-30</v>
      </c>
    </row>
    <row r="18" spans="1:12" x14ac:dyDescent="0.25">
      <c r="A18" s="10" t="s">
        <v>158</v>
      </c>
      <c r="B18" s="11">
        <v>1.36</v>
      </c>
      <c r="C18" s="11">
        <v>-0.16</v>
      </c>
      <c r="D18" s="11">
        <v>48.1</v>
      </c>
      <c r="E18" s="11">
        <v>-39.54</v>
      </c>
      <c r="F18" s="11">
        <v>38.75</v>
      </c>
      <c r="G18" s="13">
        <f>'Balance Sheet'!G25-'Balance Sheet'!F25</f>
        <v>0</v>
      </c>
      <c r="H18" s="13">
        <f>'Balance Sheet'!H25-'Balance Sheet'!G25</f>
        <v>0</v>
      </c>
      <c r="I18" s="13">
        <f>'Balance Sheet'!I25-'Balance Sheet'!H25</f>
        <v>0</v>
      </c>
      <c r="J18" s="13">
        <f>'Balance Sheet'!J25-'Balance Sheet'!I25</f>
        <v>0</v>
      </c>
      <c r="K18" s="13">
        <f>'Balance Sheet'!K25-'Balance Sheet'!J25</f>
        <v>0</v>
      </c>
    </row>
    <row r="19" spans="1:12" x14ac:dyDescent="0.25">
      <c r="A19" s="10" t="s">
        <v>159</v>
      </c>
      <c r="B19" s="11">
        <v>41.34</v>
      </c>
      <c r="C19" s="11">
        <v>60.25</v>
      </c>
      <c r="D19" s="11">
        <v>51.24</v>
      </c>
      <c r="E19" s="11">
        <v>122.98</v>
      </c>
      <c r="F19" s="11">
        <v>363.8</v>
      </c>
      <c r="G19" s="13">
        <f>-('Balance Sheet'!G11-'Balance Sheet'!F11)+('Balance Sheet'!G24-'Balance Sheet'!F24)+('Balance Sheet'!G27-'Balance Sheet'!F27)+('Balance Sheet'!G26-'Balance Sheet'!F26)+('Balance Sheet'!G30-'Balance Sheet'!F30)+('Balance Sheet'!G34-'Balance Sheet'!F34)-('Balance Sheet'!G20-'Balance Sheet'!F20)-('Balance Sheet'!G15-'Balance Sheet'!F15)</f>
        <v>-76.976099999999889</v>
      </c>
      <c r="H19" s="13">
        <f>-('Balance Sheet'!H11-'Balance Sheet'!G11)+('Balance Sheet'!H24-'Balance Sheet'!G24)+('Balance Sheet'!H27-'Balance Sheet'!G27)+('Balance Sheet'!H26-'Balance Sheet'!G26)+('Balance Sheet'!H30-'Balance Sheet'!G30)+('Balance Sheet'!H34-'Balance Sheet'!G34)-('Balance Sheet'!H20-'Balance Sheet'!G20)-('Balance Sheet'!H15-'Balance Sheet'!G15)</f>
        <v>40.419944500000028</v>
      </c>
      <c r="I19" s="13">
        <f>-('Balance Sheet'!I11-'Balance Sheet'!H11)+('Balance Sheet'!I24-'Balance Sheet'!H24)+('Balance Sheet'!I27-'Balance Sheet'!H27)+('Balance Sheet'!I26-'Balance Sheet'!H26)+('Balance Sheet'!I30-'Balance Sheet'!H30)+('Balance Sheet'!I34-'Balance Sheet'!H34)-('Balance Sheet'!I20-'Balance Sheet'!H20)-('Balance Sheet'!I15-'Balance Sheet'!H15)</f>
        <v>44.283311019999999</v>
      </c>
      <c r="J19" s="13">
        <f>-('Balance Sheet'!J11-'Balance Sheet'!I11)+('Balance Sheet'!J24-'Balance Sheet'!I24)+('Balance Sheet'!J27-'Balance Sheet'!I27)+('Balance Sheet'!J26-'Balance Sheet'!I26)+('Balance Sheet'!J30-'Balance Sheet'!I30)+('Balance Sheet'!J34-'Balance Sheet'!I34)-('Balance Sheet'!J20-'Balance Sheet'!I20)-('Balance Sheet'!J15-'Balance Sheet'!I15)</f>
        <v>41.860656226240067</v>
      </c>
      <c r="K19" s="13">
        <f>-('Balance Sheet'!K11-'Balance Sheet'!J11)+('Balance Sheet'!K24-'Balance Sheet'!J24)+('Balance Sheet'!K27-'Balance Sheet'!J27)+('Balance Sheet'!K26-'Balance Sheet'!J26)+('Balance Sheet'!K30-'Balance Sheet'!J30)+('Balance Sheet'!K34-'Balance Sheet'!J34)-('Balance Sheet'!K20-'Balance Sheet'!J20)-('Balance Sheet'!K15-'Balance Sheet'!J15)</f>
        <v>39.444315191577587</v>
      </c>
      <c r="L19" s="2" t="s">
        <v>160</v>
      </c>
    </row>
    <row r="20" spans="1:12" x14ac:dyDescent="0.25">
      <c r="A20" s="10" t="s">
        <v>161</v>
      </c>
      <c r="B20" s="12">
        <f t="shared" ref="B20:K20" si="0">SUM(B14:B19)</f>
        <v>-133.74999999999997</v>
      </c>
      <c r="C20" s="12">
        <f t="shared" si="0"/>
        <v>235.41</v>
      </c>
      <c r="D20" s="12">
        <f t="shared" si="0"/>
        <v>-92.990000000000009</v>
      </c>
      <c r="E20" s="12">
        <f t="shared" si="0"/>
        <v>62.600000000000009</v>
      </c>
      <c r="F20" s="12">
        <f t="shared" si="0"/>
        <v>167.04000000000002</v>
      </c>
      <c r="G20" s="12">
        <f t="shared" si="0"/>
        <v>17.132423397260311</v>
      </c>
      <c r="H20" s="12">
        <f t="shared" si="0"/>
        <v>-24.234582184931369</v>
      </c>
      <c r="I20" s="12">
        <f t="shared" si="0"/>
        <v>-50.258165353917789</v>
      </c>
      <c r="J20" s="12">
        <f t="shared" si="0"/>
        <v>-48.818337841736835</v>
      </c>
      <c r="K20" s="12">
        <f t="shared" si="0"/>
        <v>-49.4918050701569</v>
      </c>
    </row>
    <row r="21" spans="1:12" x14ac:dyDescent="0.25">
      <c r="A21" s="17" t="s">
        <v>162</v>
      </c>
      <c r="B21" s="18">
        <f t="shared" ref="B21:K21" si="1">SUM(B7:B12)+B20</f>
        <v>-96.559999999999974</v>
      </c>
      <c r="C21" s="18">
        <f t="shared" si="1"/>
        <v>108.19999999999992</v>
      </c>
      <c r="D21" s="18">
        <f t="shared" si="1"/>
        <v>141.21999999999997</v>
      </c>
      <c r="E21" s="18">
        <f t="shared" si="1"/>
        <v>262.85000000000019</v>
      </c>
      <c r="F21" s="18">
        <f t="shared" si="1"/>
        <v>359.43999999999994</v>
      </c>
      <c r="G21" s="18">
        <f t="shared" si="1"/>
        <v>530.08213764726042</v>
      </c>
      <c r="H21" s="18">
        <f t="shared" si="1"/>
        <v>658.35647762877852</v>
      </c>
      <c r="I21" s="18">
        <f t="shared" si="1"/>
        <v>722.45422088329349</v>
      </c>
      <c r="J21" s="18">
        <f t="shared" si="1"/>
        <v>800.59536442859098</v>
      </c>
      <c r="K21" s="18">
        <f t="shared" si="1"/>
        <v>851.90538792917926</v>
      </c>
      <c r="L21" s="2" t="s">
        <v>163</v>
      </c>
    </row>
    <row r="22" spans="1:12" x14ac:dyDescent="0.25">
      <c r="A22" s="8" t="s">
        <v>164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2" x14ac:dyDescent="0.25">
      <c r="A23" s="10" t="s">
        <v>165</v>
      </c>
      <c r="B23" s="11">
        <v>-3.15</v>
      </c>
      <c r="C23" s="11">
        <v>-8.26</v>
      </c>
      <c r="D23" s="11">
        <v>-17.43</v>
      </c>
      <c r="E23" s="11">
        <v>-23.39</v>
      </c>
      <c r="F23" s="11">
        <v>-36.07</v>
      </c>
      <c r="G23" s="13">
        <f>-'Balance Sheet'!G59</f>
        <v>-47.127150000000007</v>
      </c>
      <c r="H23" s="13">
        <f>-'Balance Sheet'!H59</f>
        <v>-50.318198250000002</v>
      </c>
      <c r="I23" s="13">
        <f>-'Balance Sheet'!I59</f>
        <v>-50.226632512000002</v>
      </c>
      <c r="J23" s="13">
        <f>-'Balance Sheet'!J59</f>
        <v>-53.311101918144011</v>
      </c>
      <c r="K23" s="13">
        <f>-'Balance Sheet'!K59</f>
        <v>-56.21752514278657</v>
      </c>
    </row>
    <row r="24" spans="1:12" x14ac:dyDescent="0.25">
      <c r="A24" s="10" t="s">
        <v>166</v>
      </c>
      <c r="B24" s="11">
        <v>0</v>
      </c>
      <c r="C24" s="11">
        <v>0</v>
      </c>
      <c r="D24" s="11">
        <v>0</v>
      </c>
      <c r="E24" s="11">
        <v>-75.34</v>
      </c>
      <c r="F24" s="11">
        <v>-1250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2" t="s">
        <v>167</v>
      </c>
    </row>
    <row r="25" spans="1:12" x14ac:dyDescent="0.25">
      <c r="A25" s="10" t="s">
        <v>168</v>
      </c>
      <c r="B25" s="11">
        <v>1.89</v>
      </c>
      <c r="C25" s="11">
        <v>2.59</v>
      </c>
      <c r="D25" s="11">
        <v>3.23</v>
      </c>
      <c r="E25" s="11">
        <v>-3</v>
      </c>
      <c r="F25" s="11">
        <v>-9.61</v>
      </c>
      <c r="G25" s="13">
        <f>'Balance Sheet'!G28-'Balance Sheet'!F28</f>
        <v>-25</v>
      </c>
      <c r="H25" s="13">
        <f>'Balance Sheet'!H28-'Balance Sheet'!G28</f>
        <v>0</v>
      </c>
      <c r="I25" s="13">
        <f>'Balance Sheet'!I28-'Balance Sheet'!H28</f>
        <v>0</v>
      </c>
      <c r="J25" s="13">
        <f>'Balance Sheet'!J28-'Balance Sheet'!I28</f>
        <v>0</v>
      </c>
      <c r="K25" s="13">
        <f>'Balance Sheet'!K28-'Balance Sheet'!J28</f>
        <v>0</v>
      </c>
      <c r="L25" s="2" t="s">
        <v>169</v>
      </c>
    </row>
    <row r="26" spans="1:12" x14ac:dyDescent="0.25">
      <c r="A26" s="17" t="s">
        <v>170</v>
      </c>
      <c r="B26" s="18">
        <f t="shared" ref="B26:K26" si="2">SUM(B23:B25)</f>
        <v>-1.26</v>
      </c>
      <c r="C26" s="18">
        <f t="shared" si="2"/>
        <v>-5.67</v>
      </c>
      <c r="D26" s="18">
        <f t="shared" si="2"/>
        <v>-14.2</v>
      </c>
      <c r="E26" s="18">
        <f t="shared" si="2"/>
        <v>-101.73</v>
      </c>
      <c r="F26" s="18">
        <f t="shared" si="2"/>
        <v>-1295.6799999999998</v>
      </c>
      <c r="G26" s="18">
        <f t="shared" si="2"/>
        <v>-72.12715</v>
      </c>
      <c r="H26" s="18">
        <f t="shared" si="2"/>
        <v>-50.318198250000002</v>
      </c>
      <c r="I26" s="18">
        <f t="shared" si="2"/>
        <v>-50.226632512000002</v>
      </c>
      <c r="J26" s="18">
        <f t="shared" si="2"/>
        <v>-53.311101918144011</v>
      </c>
      <c r="K26" s="18">
        <f t="shared" si="2"/>
        <v>-56.21752514278657</v>
      </c>
    </row>
    <row r="27" spans="1:12" x14ac:dyDescent="0.25">
      <c r="A27" s="8" t="s">
        <v>171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2" x14ac:dyDescent="0.25">
      <c r="A28" s="10" t="s">
        <v>172</v>
      </c>
      <c r="B28" s="11">
        <v>0</v>
      </c>
      <c r="C28" s="11">
        <v>0</v>
      </c>
      <c r="D28" s="11">
        <v>0</v>
      </c>
      <c r="E28" s="11">
        <v>0</v>
      </c>
      <c r="F28" s="11">
        <v>900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</row>
    <row r="29" spans="1:12" x14ac:dyDescent="0.25">
      <c r="A29" s="10" t="s">
        <v>173</v>
      </c>
      <c r="B29" s="11">
        <v>-0.09</v>
      </c>
      <c r="C29" s="11">
        <v>-0.06</v>
      </c>
      <c r="D29" s="11">
        <v>0</v>
      </c>
      <c r="E29" s="11">
        <v>0</v>
      </c>
      <c r="F29" s="11">
        <v>-201.75</v>
      </c>
      <c r="G29" s="13">
        <f>-('Balance Sheet'!G81-'Balance Sheet'!G83)</f>
        <v>-7</v>
      </c>
      <c r="H29" s="13">
        <f>-('Balance Sheet'!H81-'Balance Sheet'!H83)</f>
        <v>-100</v>
      </c>
      <c r="I29" s="13">
        <f>-('Balance Sheet'!I81-'Balance Sheet'!I83)</f>
        <v>-100</v>
      </c>
      <c r="J29" s="13">
        <f>-('Balance Sheet'!J81-'Balance Sheet'!J83)</f>
        <v>-100</v>
      </c>
      <c r="K29" s="13">
        <f>-('Balance Sheet'!K81-'Balance Sheet'!K83)</f>
        <v>-100</v>
      </c>
    </row>
    <row r="30" spans="1:12" x14ac:dyDescent="0.25">
      <c r="A30" s="10" t="s">
        <v>174</v>
      </c>
      <c r="B30" s="11">
        <v>71.489999999999995</v>
      </c>
      <c r="C30" s="11">
        <v>3.68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</row>
    <row r="31" spans="1:12" x14ac:dyDescent="0.25">
      <c r="A31" s="10" t="s">
        <v>175</v>
      </c>
      <c r="B31" s="13">
        <f>-'Balance Sheet'!B88</f>
        <v>0</v>
      </c>
      <c r="C31" s="13">
        <f>-'Balance Sheet'!C88</f>
        <v>0</v>
      </c>
      <c r="D31" s="13">
        <f>-'Balance Sheet'!D88</f>
        <v>0</v>
      </c>
      <c r="E31" s="13">
        <f>-'Balance Sheet'!E88</f>
        <v>-2.2599999999999998</v>
      </c>
      <c r="F31" s="13">
        <f>-'Balance Sheet'!F88</f>
        <v>-45.5</v>
      </c>
      <c r="G31" s="13">
        <f>-'Balance Sheet'!G88</f>
        <v>-225</v>
      </c>
      <c r="H31" s="13">
        <f>-'Balance Sheet'!H88</f>
        <v>-200</v>
      </c>
      <c r="I31" s="13">
        <f>-'Balance Sheet'!I88</f>
        <v>-250</v>
      </c>
      <c r="J31" s="13">
        <f>-'Balance Sheet'!J88</f>
        <v>-300</v>
      </c>
      <c r="K31" s="13">
        <f>-'Balance Sheet'!K88</f>
        <v>-350</v>
      </c>
    </row>
    <row r="32" spans="1:12" x14ac:dyDescent="0.25">
      <c r="A32" s="10" t="s">
        <v>176</v>
      </c>
      <c r="B32" s="11">
        <v>0</v>
      </c>
      <c r="C32" s="11">
        <v>-11.53</v>
      </c>
      <c r="D32" s="11">
        <v>-27.46</v>
      </c>
      <c r="E32" s="11">
        <v>-27.5</v>
      </c>
      <c r="F32" s="11">
        <v>-37.61</v>
      </c>
      <c r="G32" s="13">
        <f>-'Income Statement'!G48</f>
        <v>-56.75</v>
      </c>
      <c r="H32" s="13">
        <f>-'Income Statement'!H48</f>
        <v>-56.75</v>
      </c>
      <c r="I32" s="13">
        <f>-'Income Statement'!I48</f>
        <v>-56.75</v>
      </c>
      <c r="J32" s="13">
        <f>-'Income Statement'!J48</f>
        <v>-56.75</v>
      </c>
      <c r="K32" s="13">
        <f>-'Income Statement'!K48</f>
        <v>-56.75</v>
      </c>
    </row>
    <row r="33" spans="1:12" x14ac:dyDescent="0.25">
      <c r="A33" s="10" t="s">
        <v>177</v>
      </c>
      <c r="B33" s="11">
        <v>0</v>
      </c>
      <c r="C33" s="11">
        <v>542.02</v>
      </c>
      <c r="D33" s="11">
        <v>2.2400000000000002</v>
      </c>
      <c r="E33" s="11">
        <v>3.79</v>
      </c>
      <c r="F33" s="11">
        <v>-32.380000000000003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2" t="s">
        <v>178</v>
      </c>
    </row>
    <row r="34" spans="1:12" x14ac:dyDescent="0.25">
      <c r="A34" s="17" t="s">
        <v>179</v>
      </c>
      <c r="B34" s="18">
        <f t="shared" ref="B34:K34" si="3">SUM(B28:B33)</f>
        <v>71.399999999999991</v>
      </c>
      <c r="C34" s="18">
        <f t="shared" si="3"/>
        <v>534.11</v>
      </c>
      <c r="D34" s="18">
        <f t="shared" si="3"/>
        <v>-25.22</v>
      </c>
      <c r="E34" s="18">
        <f t="shared" si="3"/>
        <v>-25.97</v>
      </c>
      <c r="F34" s="18">
        <f t="shared" si="3"/>
        <v>582.76</v>
      </c>
      <c r="G34" s="18">
        <f t="shared" si="3"/>
        <v>-288.75</v>
      </c>
      <c r="H34" s="18">
        <f t="shared" si="3"/>
        <v>-356.75</v>
      </c>
      <c r="I34" s="18">
        <f t="shared" si="3"/>
        <v>-406.75</v>
      </c>
      <c r="J34" s="18">
        <f t="shared" si="3"/>
        <v>-456.75</v>
      </c>
      <c r="K34" s="18">
        <f t="shared" si="3"/>
        <v>-506.75</v>
      </c>
    </row>
    <row r="35" spans="1:12" x14ac:dyDescent="0.25">
      <c r="A35" s="10" t="s">
        <v>180</v>
      </c>
      <c r="B35" s="11">
        <v>-0.54</v>
      </c>
      <c r="C35" s="11">
        <v>0.05</v>
      </c>
      <c r="D35" s="11">
        <v>1.26</v>
      </c>
      <c r="E35" s="11">
        <v>-1</v>
      </c>
      <c r="F35" s="11">
        <v>3.27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</row>
    <row r="36" spans="1:12" x14ac:dyDescent="0.25">
      <c r="A36" s="3" t="s">
        <v>181</v>
      </c>
      <c r="B36" s="15">
        <f t="shared" ref="B36:K36" si="4">B21+B26+B34+B35</f>
        <v>-26.959999999999987</v>
      </c>
      <c r="C36" s="15">
        <f t="shared" si="4"/>
        <v>636.68999999999983</v>
      </c>
      <c r="D36" s="15">
        <f t="shared" si="4"/>
        <v>103.05999999999997</v>
      </c>
      <c r="E36" s="15">
        <f t="shared" si="4"/>
        <v>134.15000000000018</v>
      </c>
      <c r="F36" s="15">
        <f t="shared" si="4"/>
        <v>-350.20999999999992</v>
      </c>
      <c r="G36" s="15">
        <f t="shared" si="4"/>
        <v>169.2049876472604</v>
      </c>
      <c r="H36" s="15">
        <f t="shared" si="4"/>
        <v>251.2882793787785</v>
      </c>
      <c r="I36" s="15">
        <f t="shared" si="4"/>
        <v>265.47758837129345</v>
      </c>
      <c r="J36" s="15">
        <f t="shared" si="4"/>
        <v>290.53426251044698</v>
      </c>
      <c r="K36" s="15">
        <f t="shared" si="4"/>
        <v>288.93786278639266</v>
      </c>
    </row>
    <row r="37" spans="1:12" x14ac:dyDescent="0.25">
      <c r="A37" s="10" t="s">
        <v>182</v>
      </c>
      <c r="B37" s="11">
        <v>43.25</v>
      </c>
      <c r="C37" s="12">
        <f>B38</f>
        <v>16.290000000000013</v>
      </c>
      <c r="D37" s="12">
        <f>C38</f>
        <v>652.97999999999979</v>
      </c>
      <c r="E37" s="12">
        <f>D38</f>
        <v>756.03999999999974</v>
      </c>
      <c r="F37" s="12">
        <f>E38</f>
        <v>890.18999999999994</v>
      </c>
      <c r="G37" s="13">
        <f>'Balance Sheet'!F7+'Balance Sheet'!F8</f>
        <v>539.99</v>
      </c>
      <c r="H37" s="12">
        <f>G38</f>
        <v>709.1949876472604</v>
      </c>
      <c r="I37" s="12">
        <f>H38</f>
        <v>960.4832670260389</v>
      </c>
      <c r="J37" s="12">
        <f>I38</f>
        <v>1225.9608553973324</v>
      </c>
      <c r="K37" s="12">
        <f>J38</f>
        <v>1516.4951179077793</v>
      </c>
      <c r="L37" s="2" t="s">
        <v>183</v>
      </c>
    </row>
    <row r="38" spans="1:12" x14ac:dyDescent="0.25">
      <c r="A38" s="17" t="s">
        <v>184</v>
      </c>
      <c r="B38" s="18">
        <f t="shared" ref="B38:K38" si="5">B37+B36</f>
        <v>16.290000000000013</v>
      </c>
      <c r="C38" s="18">
        <f t="shared" si="5"/>
        <v>652.97999999999979</v>
      </c>
      <c r="D38" s="18">
        <f t="shared" si="5"/>
        <v>756.03999999999974</v>
      </c>
      <c r="E38" s="18">
        <f t="shared" si="5"/>
        <v>890.18999999999994</v>
      </c>
      <c r="F38" s="18">
        <f t="shared" si="5"/>
        <v>539.98</v>
      </c>
      <c r="G38" s="18">
        <f t="shared" si="5"/>
        <v>709.1949876472604</v>
      </c>
      <c r="H38" s="18">
        <f t="shared" si="5"/>
        <v>960.4832670260389</v>
      </c>
      <c r="I38" s="18">
        <f t="shared" si="5"/>
        <v>1225.9608553973324</v>
      </c>
      <c r="J38" s="18">
        <f t="shared" si="5"/>
        <v>1516.4951179077793</v>
      </c>
      <c r="K38" s="18">
        <f t="shared" si="5"/>
        <v>1805.4329806941719</v>
      </c>
    </row>
    <row r="39" spans="1:12" x14ac:dyDescent="0.25">
      <c r="A39" s="10" t="s">
        <v>185</v>
      </c>
      <c r="B39" s="13">
        <f>ROUND(B38-'Balance Sheet'!B7-'Balance Sheet'!B8,2)</f>
        <v>0.03</v>
      </c>
      <c r="C39" s="13">
        <f>ROUND(C38-'Balance Sheet'!C7-'Balance Sheet'!C8,2)</f>
        <v>0.05</v>
      </c>
      <c r="D39" s="13">
        <f>ROUND(D38-'Balance Sheet'!D7-'Balance Sheet'!D8,2)</f>
        <v>0.06</v>
      </c>
      <c r="E39" s="13">
        <f>ROUND(E38-'Balance Sheet'!E7-'Balance Sheet'!E8,2)</f>
        <v>0</v>
      </c>
      <c r="F39" s="13">
        <f>ROUND(F38-'Balance Sheet'!F7-'Balance Sheet'!F8,2)</f>
        <v>-0.01</v>
      </c>
      <c r="G39" s="13">
        <f>ROUND(G38-'Balance Sheet'!G7-'Balance Sheet'!G8,4)</f>
        <v>0</v>
      </c>
      <c r="H39" s="13">
        <f>ROUND(H38-'Balance Sheet'!H7-'Balance Sheet'!H8,4)</f>
        <v>0</v>
      </c>
      <c r="I39" s="13">
        <f>ROUND(I38-'Balance Sheet'!I7-'Balance Sheet'!I8,4)</f>
        <v>0</v>
      </c>
      <c r="J39" s="13">
        <f>ROUND(J38-'Balance Sheet'!J7-'Balance Sheet'!J8,4)</f>
        <v>0</v>
      </c>
      <c r="K39" s="13">
        <f>ROUND(K38-'Balance Sheet'!K7-'Balance Sheet'!K8,4)</f>
        <v>0</v>
      </c>
    </row>
    <row r="41" spans="1:12" x14ac:dyDescent="0.25">
      <c r="A41" s="8" t="s">
        <v>186</v>
      </c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2" x14ac:dyDescent="0.25">
      <c r="A42" s="3" t="s">
        <v>187</v>
      </c>
      <c r="B42" s="15">
        <f t="shared" ref="B42:K42" si="6">B21+B23</f>
        <v>-99.70999999999998</v>
      </c>
      <c r="C42" s="15">
        <f t="shared" si="6"/>
        <v>99.939999999999912</v>
      </c>
      <c r="D42" s="15">
        <f t="shared" si="6"/>
        <v>123.78999999999996</v>
      </c>
      <c r="E42" s="15">
        <f t="shared" si="6"/>
        <v>239.46000000000021</v>
      </c>
      <c r="F42" s="15">
        <f t="shared" si="6"/>
        <v>323.36999999999995</v>
      </c>
      <c r="G42" s="15">
        <f t="shared" si="6"/>
        <v>482.9549876472604</v>
      </c>
      <c r="H42" s="15">
        <f t="shared" si="6"/>
        <v>608.0382793787785</v>
      </c>
      <c r="I42" s="15">
        <f t="shared" si="6"/>
        <v>672.22758837129345</v>
      </c>
      <c r="J42" s="15">
        <f t="shared" si="6"/>
        <v>747.28426251044698</v>
      </c>
      <c r="K42" s="15">
        <f t="shared" si="6"/>
        <v>795.68786278639266</v>
      </c>
    </row>
    <row r="43" spans="1:12" x14ac:dyDescent="0.25">
      <c r="A43" s="10" t="s">
        <v>188</v>
      </c>
      <c r="B43" s="26">
        <f>B42/'Income Statement'!B7</f>
        <v>-0.3172749546568237</v>
      </c>
      <c r="C43" s="26">
        <f>C42/'Income Statement'!C7</f>
        <v>0.15290463732195025</v>
      </c>
      <c r="D43" s="26">
        <f>D42/'Income Statement'!D7</f>
        <v>9.3921184807514269E-2</v>
      </c>
      <c r="E43" s="26">
        <f>E42/'Income Statement'!E7</f>
        <v>0.17664502803186793</v>
      </c>
      <c r="F43" s="26">
        <f>F42/'Income Statement'!F7</f>
        <v>0.12856273879146174</v>
      </c>
      <c r="G43" s="26">
        <f>G42/'Income Statement'!G7</f>
        <v>0.15371871234965206</v>
      </c>
      <c r="H43" s="26">
        <f>H42/'Income Statement'!H7</f>
        <v>0.18125796447176398</v>
      </c>
      <c r="I43" s="26">
        <f>I42/'Income Statement'!I7</f>
        <v>0.18737442202500068</v>
      </c>
      <c r="J43" s="26">
        <f>J42/'Income Statement'!J7</f>
        <v>0.19624392103562216</v>
      </c>
      <c r="K43" s="26">
        <f>K42/'Income Statement'!K7</f>
        <v>0.19815226747737497</v>
      </c>
    </row>
    <row r="44" spans="1:12" x14ac:dyDescent="0.25">
      <c r="A44" s="10" t="s">
        <v>189</v>
      </c>
      <c r="B44" s="12">
        <f t="shared" ref="B44:K44" si="7">B42+B32</f>
        <v>-99.70999999999998</v>
      </c>
      <c r="C44" s="12">
        <f t="shared" si="7"/>
        <v>88.409999999999911</v>
      </c>
      <c r="D44" s="12">
        <f t="shared" si="7"/>
        <v>96.329999999999956</v>
      </c>
      <c r="E44" s="12">
        <f t="shared" si="7"/>
        <v>211.96000000000021</v>
      </c>
      <c r="F44" s="12">
        <f t="shared" si="7"/>
        <v>285.75999999999993</v>
      </c>
      <c r="G44" s="12">
        <f t="shared" si="7"/>
        <v>426.2049876472604</v>
      </c>
      <c r="H44" s="12">
        <f t="shared" si="7"/>
        <v>551.2882793787785</v>
      </c>
      <c r="I44" s="12">
        <f t="shared" si="7"/>
        <v>615.47758837129345</v>
      </c>
      <c r="J44" s="12">
        <f t="shared" si="7"/>
        <v>690.53426251044698</v>
      </c>
      <c r="K44" s="12">
        <f t="shared" si="7"/>
        <v>738.93786278639266</v>
      </c>
    </row>
    <row r="45" spans="1:12" x14ac:dyDescent="0.25">
      <c r="A45" s="10" t="s">
        <v>190</v>
      </c>
      <c r="B45" s="27">
        <f>B42/'Income Statement'!B54</f>
        <v>-0.50614213197969538</v>
      </c>
      <c r="C45" s="27">
        <f>C42/'Income Statement'!C54</f>
        <v>0.44221238938053059</v>
      </c>
      <c r="D45" s="27">
        <f>D42/'Income Statement'!D54</f>
        <v>0.52232067510548508</v>
      </c>
      <c r="E45" s="27">
        <f>E42/'Income Statement'!E54</f>
        <v>1.0103797468354438</v>
      </c>
      <c r="F45" s="27">
        <f>F42/'Income Statement'!F54</f>
        <v>1.2681176470588233</v>
      </c>
      <c r="G45" s="27">
        <f>G42/'Income Statement'!G54</f>
        <v>1.8835263353506506</v>
      </c>
      <c r="H45" s="27">
        <f>H42/'Income Statement'!H54</f>
        <v>2.4212121732944571</v>
      </c>
      <c r="I45" s="27">
        <f>I42/'Income Statement'!I54</f>
        <v>2.730902149378124</v>
      </c>
      <c r="J45" s="27">
        <f>J42/'Income Statement'!J54</f>
        <v>3.1078191552632846</v>
      </c>
      <c r="K45" s="27">
        <f>K42/'Income Statement'!K54</f>
        <v>3.3973670404313281</v>
      </c>
    </row>
    <row r="47" spans="1:12" x14ac:dyDescent="0.25">
      <c r="A47" s="2" t="s">
        <v>191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F5597"/>
  </sheetPr>
  <dimension ref="A1:L10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52" customWidth="1"/>
    <col min="2" max="11" width="11" customWidth="1"/>
    <col min="12" max="12" width="90" customWidth="1"/>
  </cols>
  <sheetData>
    <row r="1" spans="1:12" ht="18" x14ac:dyDescent="0.25">
      <c r="A1" s="1" t="s">
        <v>192</v>
      </c>
    </row>
    <row r="2" spans="1:12" x14ac:dyDescent="0.25">
      <c r="A2" s="2" t="s">
        <v>1</v>
      </c>
    </row>
    <row r="3" spans="1:12" x14ac:dyDescent="0.25">
      <c r="A3" s="3" t="s">
        <v>2</v>
      </c>
      <c r="B3" s="4" t="str">
        <f>CHOOSE(Scenarios!$C$4,"Bull case","Base case","Bear case")</f>
        <v>Base case</v>
      </c>
    </row>
    <row r="5" spans="1:12" x14ac:dyDescent="0.2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6" t="s">
        <v>14</v>
      </c>
    </row>
    <row r="6" spans="1:12" x14ac:dyDescent="0.25">
      <c r="A6" s="8" t="s">
        <v>193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x14ac:dyDescent="0.25">
      <c r="A7" s="10" t="s">
        <v>194</v>
      </c>
      <c r="B7" s="11">
        <v>16.260000000000002</v>
      </c>
      <c r="C7" s="11">
        <v>614.16</v>
      </c>
      <c r="D7" s="11">
        <v>755.98</v>
      </c>
      <c r="E7" s="11">
        <v>890.19</v>
      </c>
      <c r="F7" s="11">
        <v>398.87</v>
      </c>
      <c r="G7" s="13">
        <f>'Cash Flow'!G38-G8</f>
        <v>709.1949876472604</v>
      </c>
      <c r="H7" s="13">
        <f>'Cash Flow'!H38-H8</f>
        <v>960.4832670260389</v>
      </c>
      <c r="I7" s="13">
        <f>'Cash Flow'!I38-I8</f>
        <v>1225.9608553973324</v>
      </c>
      <c r="J7" s="13">
        <f>'Cash Flow'!J38-J8</f>
        <v>1516.4951179077793</v>
      </c>
      <c r="K7" s="13">
        <f>'Cash Flow'!K38-K8</f>
        <v>1805.4329806941719</v>
      </c>
    </row>
    <row r="8" spans="1:12" x14ac:dyDescent="0.25">
      <c r="A8" s="10" t="s">
        <v>195</v>
      </c>
      <c r="B8" s="11">
        <v>0</v>
      </c>
      <c r="C8" s="11">
        <v>38.770000000000003</v>
      </c>
      <c r="D8" s="11">
        <v>0</v>
      </c>
      <c r="E8" s="11">
        <v>0</v>
      </c>
      <c r="F8" s="11">
        <v>141.12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2" t="s">
        <v>196</v>
      </c>
    </row>
    <row r="9" spans="1:12" x14ac:dyDescent="0.25">
      <c r="A9" s="10" t="s">
        <v>197</v>
      </c>
      <c r="B9" s="11">
        <v>41.33</v>
      </c>
      <c r="C9" s="11">
        <v>66.290000000000006</v>
      </c>
      <c r="D9" s="11">
        <v>186.02</v>
      </c>
      <c r="E9" s="11">
        <v>270.33999999999997</v>
      </c>
      <c r="F9" s="11">
        <v>755.5</v>
      </c>
      <c r="G9" s="13">
        <f>'Income Statement'!G7*G50/365</f>
        <v>731.65438356164395</v>
      </c>
      <c r="H9" s="13">
        <f>'Income Statement'!H7*H50/365</f>
        <v>781.1957719178082</v>
      </c>
      <c r="I9" s="13">
        <f>'Income Statement'!I7*I50/365</f>
        <v>835.47236076712329</v>
      </c>
      <c r="J9" s="13">
        <f>'Income Statement'!J7*J50/365</f>
        <v>886.77958180865767</v>
      </c>
      <c r="K9" s="13">
        <f>'Income Statement'!K7*K50/365</f>
        <v>935.12517360799586</v>
      </c>
    </row>
    <row r="10" spans="1:12" x14ac:dyDescent="0.25">
      <c r="A10" s="10" t="s">
        <v>198</v>
      </c>
      <c r="B10" s="11">
        <v>191.22</v>
      </c>
      <c r="C10" s="11">
        <v>173.29</v>
      </c>
      <c r="D10" s="11">
        <v>229.28</v>
      </c>
      <c r="E10" s="11">
        <v>131.16999999999999</v>
      </c>
      <c r="F10" s="11">
        <v>337.7</v>
      </c>
      <c r="G10" s="13">
        <f>'Income Statement'!G12*G51/365</f>
        <v>374.60704438356169</v>
      </c>
      <c r="H10" s="13">
        <f>'Income Statement'!H12*H51/365</f>
        <v>367.62153972602744</v>
      </c>
      <c r="I10" s="13">
        <f>'Income Statement'!I12*I51/365</f>
        <v>389.23182925150684</v>
      </c>
      <c r="J10" s="13">
        <f>'Income Statement'!J12*J51/365</f>
        <v>408.96187772822799</v>
      </c>
      <c r="K10" s="13">
        <f>'Income Statement'!K12*K51/365</f>
        <v>431.25772712274636</v>
      </c>
    </row>
    <row r="11" spans="1:12" x14ac:dyDescent="0.25">
      <c r="A11" s="10" t="s">
        <v>199</v>
      </c>
      <c r="B11" s="11">
        <v>13.56</v>
      </c>
      <c r="C11" s="11">
        <v>11.34</v>
      </c>
      <c r="D11" s="11">
        <v>19.5</v>
      </c>
      <c r="E11" s="11">
        <v>18.760000000000002</v>
      </c>
      <c r="F11" s="11">
        <v>128.81</v>
      </c>
      <c r="G11" s="13">
        <f>'Income Statement'!G7*G53</f>
        <v>78.54525000000001</v>
      </c>
      <c r="H11" s="13">
        <f>'Income Statement'!H7*H53</f>
        <v>83.863663750000015</v>
      </c>
      <c r="I11" s="13">
        <f>'Income Statement'!I7*I53</f>
        <v>89.690415200000018</v>
      </c>
      <c r="J11" s="13">
        <f>'Income Statement'!J7*J53</f>
        <v>95.198396282400026</v>
      </c>
      <c r="K11" s="13">
        <f>'Income Statement'!K7*K53</f>
        <v>100.38843775497602</v>
      </c>
    </row>
    <row r="12" spans="1:12" x14ac:dyDescent="0.25">
      <c r="A12" s="10" t="s">
        <v>200</v>
      </c>
      <c r="B12" s="11">
        <v>0</v>
      </c>
      <c r="C12" s="11">
        <v>14.12</v>
      </c>
      <c r="D12" s="11">
        <v>14.12</v>
      </c>
      <c r="E12" s="11">
        <v>14.12</v>
      </c>
      <c r="F12" s="11">
        <v>49.16</v>
      </c>
      <c r="G12" s="12">
        <f>MIN(G71,G73)</f>
        <v>49.5</v>
      </c>
      <c r="H12" s="12">
        <f>MIN(H71,H73)</f>
        <v>49.5</v>
      </c>
      <c r="I12" s="12">
        <f>MIN(I71,I73)</f>
        <v>49.5</v>
      </c>
      <c r="J12" s="12">
        <f>MIN(J71,J73)</f>
        <v>49.5</v>
      </c>
      <c r="K12" s="12">
        <f>MIN(K71,K73)</f>
        <v>49.5</v>
      </c>
    </row>
    <row r="13" spans="1:12" x14ac:dyDescent="0.25">
      <c r="A13" s="3" t="s">
        <v>201</v>
      </c>
      <c r="B13" s="15">
        <f t="shared" ref="B13:K13" si="0">SUM(B7:B12)</f>
        <v>262.37</v>
      </c>
      <c r="C13" s="15">
        <f t="shared" si="0"/>
        <v>917.96999999999991</v>
      </c>
      <c r="D13" s="15">
        <f t="shared" si="0"/>
        <v>1204.8999999999999</v>
      </c>
      <c r="E13" s="15">
        <f t="shared" si="0"/>
        <v>1324.58</v>
      </c>
      <c r="F13" s="15">
        <f t="shared" si="0"/>
        <v>1811.16</v>
      </c>
      <c r="G13" s="15">
        <f t="shared" si="0"/>
        <v>1943.501665592466</v>
      </c>
      <c r="H13" s="15">
        <f t="shared" si="0"/>
        <v>2242.6642424198744</v>
      </c>
      <c r="I13" s="15">
        <f t="shared" si="0"/>
        <v>2589.8554606159628</v>
      </c>
      <c r="J13" s="15">
        <f t="shared" si="0"/>
        <v>2956.934973727065</v>
      </c>
      <c r="K13" s="15">
        <f t="shared" si="0"/>
        <v>3321.7043191798903</v>
      </c>
    </row>
    <row r="14" spans="1:12" x14ac:dyDescent="0.25">
      <c r="A14" s="10" t="s">
        <v>202</v>
      </c>
      <c r="B14" s="11">
        <v>4.3899999999999997</v>
      </c>
      <c r="C14" s="11">
        <v>11.37</v>
      </c>
      <c r="D14" s="11">
        <v>27.03</v>
      </c>
      <c r="E14" s="11">
        <v>55.6</v>
      </c>
      <c r="F14" s="11">
        <v>87.91</v>
      </c>
      <c r="G14" s="12">
        <f>G62</f>
        <v>120.97154999999999</v>
      </c>
      <c r="H14" s="12">
        <f>H62</f>
        <v>151.93430025000001</v>
      </c>
      <c r="I14" s="12">
        <f>I62</f>
        <v>177.85144472200002</v>
      </c>
      <c r="J14" s="12">
        <f>J62</f>
        <v>202.70631548462401</v>
      </c>
      <c r="K14" s="12">
        <f>K62</f>
        <v>226.49083014987073</v>
      </c>
    </row>
    <row r="15" spans="1:12" x14ac:dyDescent="0.25">
      <c r="A15" s="10" t="s">
        <v>203</v>
      </c>
      <c r="B15" s="11">
        <v>9.02</v>
      </c>
      <c r="C15" s="11">
        <v>0.5</v>
      </c>
      <c r="D15" s="11">
        <v>29.52</v>
      </c>
      <c r="E15" s="11">
        <v>38.700000000000003</v>
      </c>
      <c r="F15" s="11">
        <v>96.01</v>
      </c>
      <c r="G15" s="12">
        <f>F15</f>
        <v>96.01</v>
      </c>
      <c r="H15" s="12">
        <f>G15</f>
        <v>96.01</v>
      </c>
      <c r="I15" s="12">
        <f>H15</f>
        <v>96.01</v>
      </c>
      <c r="J15" s="12">
        <f>I15</f>
        <v>96.01</v>
      </c>
      <c r="K15" s="12">
        <f>J15</f>
        <v>96.01</v>
      </c>
    </row>
    <row r="16" spans="1:12" x14ac:dyDescent="0.25">
      <c r="A16" s="10" t="s">
        <v>204</v>
      </c>
      <c r="B16" s="11">
        <v>0</v>
      </c>
      <c r="C16" s="11">
        <v>262.45999999999998</v>
      </c>
      <c r="D16" s="11">
        <v>248.34</v>
      </c>
      <c r="E16" s="11">
        <v>234.22</v>
      </c>
      <c r="F16" s="11">
        <v>771.64</v>
      </c>
      <c r="G16" s="12">
        <f>G73-G12</f>
        <v>721.8</v>
      </c>
      <c r="H16" s="12">
        <f>H73-H12</f>
        <v>672.3</v>
      </c>
      <c r="I16" s="12">
        <f>I73-I12</f>
        <v>622.79999999999995</v>
      </c>
      <c r="J16" s="12">
        <f>J73-J12</f>
        <v>573.29999999999995</v>
      </c>
      <c r="K16" s="12">
        <f>K73-K12</f>
        <v>523.79999999999995</v>
      </c>
      <c r="L16" s="2" t="s">
        <v>205</v>
      </c>
    </row>
    <row r="17" spans="1:12" x14ac:dyDescent="0.25">
      <c r="A17" s="10" t="s">
        <v>206</v>
      </c>
      <c r="B17" s="11">
        <v>16.3</v>
      </c>
      <c r="C17" s="11">
        <v>12.25</v>
      </c>
      <c r="D17" s="11">
        <v>12.14</v>
      </c>
      <c r="E17" s="11">
        <v>0.91</v>
      </c>
      <c r="F17" s="11">
        <v>1280.31</v>
      </c>
      <c r="G17" s="12">
        <f>F17</f>
        <v>1280.31</v>
      </c>
      <c r="H17" s="12">
        <f>G17</f>
        <v>1280.31</v>
      </c>
      <c r="I17" s="12">
        <f>H17</f>
        <v>1280.31</v>
      </c>
      <c r="J17" s="12">
        <f>I17</f>
        <v>1280.31</v>
      </c>
      <c r="K17" s="12">
        <f>J17</f>
        <v>1280.31</v>
      </c>
      <c r="L17" s="2" t="s">
        <v>207</v>
      </c>
    </row>
    <row r="18" spans="1:12" x14ac:dyDescent="0.25">
      <c r="A18" s="10" t="s">
        <v>208</v>
      </c>
      <c r="B18" s="11">
        <v>0</v>
      </c>
      <c r="C18" s="11">
        <v>0</v>
      </c>
      <c r="D18" s="11">
        <v>0</v>
      </c>
      <c r="E18" s="11">
        <v>11.31</v>
      </c>
      <c r="F18" s="11">
        <v>111.6</v>
      </c>
      <c r="G18" s="12">
        <f>G67</f>
        <v>87.399999999999991</v>
      </c>
      <c r="H18" s="12">
        <f>H67</f>
        <v>63.199999999999989</v>
      </c>
      <c r="I18" s="12">
        <f>I67</f>
        <v>38.999999999999986</v>
      </c>
      <c r="J18" s="12">
        <f>J67</f>
        <v>14.799999999999986</v>
      </c>
      <c r="K18" s="12">
        <f>K67</f>
        <v>0</v>
      </c>
    </row>
    <row r="19" spans="1:12" x14ac:dyDescent="0.25">
      <c r="A19" s="10" t="s">
        <v>209</v>
      </c>
      <c r="B19" s="11">
        <v>14.53</v>
      </c>
      <c r="C19" s="11">
        <v>13.68</v>
      </c>
      <c r="D19" s="11">
        <v>14.17</v>
      </c>
      <c r="E19" s="11">
        <v>71.58</v>
      </c>
      <c r="F19" s="11">
        <v>917.56</v>
      </c>
      <c r="G19" s="12">
        <f t="shared" ref="G19:K20" si="1">F19</f>
        <v>917.56</v>
      </c>
      <c r="H19" s="12">
        <f t="shared" si="1"/>
        <v>917.56</v>
      </c>
      <c r="I19" s="12">
        <f t="shared" si="1"/>
        <v>917.56</v>
      </c>
      <c r="J19" s="12">
        <f t="shared" si="1"/>
        <v>917.56</v>
      </c>
      <c r="K19" s="12">
        <f t="shared" si="1"/>
        <v>917.56</v>
      </c>
    </row>
    <row r="20" spans="1:12" x14ac:dyDescent="0.25">
      <c r="A20" s="10" t="s">
        <v>210</v>
      </c>
      <c r="B20" s="11">
        <v>7.41</v>
      </c>
      <c r="C20" s="11">
        <v>3.85</v>
      </c>
      <c r="D20" s="11">
        <v>0.31</v>
      </c>
      <c r="E20" s="11">
        <v>29.97</v>
      </c>
      <c r="F20" s="11">
        <v>43.43</v>
      </c>
      <c r="G20" s="12">
        <f t="shared" si="1"/>
        <v>43.43</v>
      </c>
      <c r="H20" s="12">
        <f t="shared" si="1"/>
        <v>43.43</v>
      </c>
      <c r="I20" s="12">
        <f t="shared" si="1"/>
        <v>43.43</v>
      </c>
      <c r="J20" s="12">
        <f t="shared" si="1"/>
        <v>43.43</v>
      </c>
      <c r="K20" s="12">
        <f t="shared" si="1"/>
        <v>43.43</v>
      </c>
      <c r="L20" s="2" t="s">
        <v>211</v>
      </c>
    </row>
    <row r="21" spans="1:12" x14ac:dyDescent="0.25">
      <c r="A21" s="17" t="s">
        <v>212</v>
      </c>
      <c r="B21" s="18">
        <f t="shared" ref="B21:K21" si="2">B13+SUM(B14:B20)</f>
        <v>314.02</v>
      </c>
      <c r="C21" s="18">
        <f t="shared" si="2"/>
        <v>1222.08</v>
      </c>
      <c r="D21" s="18">
        <f t="shared" si="2"/>
        <v>1536.4099999999999</v>
      </c>
      <c r="E21" s="18">
        <f t="shared" si="2"/>
        <v>1766.87</v>
      </c>
      <c r="F21" s="18">
        <f t="shared" si="2"/>
        <v>5119.62</v>
      </c>
      <c r="G21" s="18">
        <f t="shared" si="2"/>
        <v>5210.983215592466</v>
      </c>
      <c r="H21" s="18">
        <f t="shared" si="2"/>
        <v>5467.4085426698739</v>
      </c>
      <c r="I21" s="18">
        <f t="shared" si="2"/>
        <v>5766.8169053379625</v>
      </c>
      <c r="J21" s="18">
        <f t="shared" si="2"/>
        <v>6085.0512892116894</v>
      </c>
      <c r="K21" s="18">
        <f t="shared" si="2"/>
        <v>6409.3051493297608</v>
      </c>
    </row>
    <row r="22" spans="1:12" x14ac:dyDescent="0.25">
      <c r="A22" s="8" t="s">
        <v>213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2" x14ac:dyDescent="0.25">
      <c r="A23" s="10" t="s">
        <v>214</v>
      </c>
      <c r="B23" s="11">
        <v>41.26</v>
      </c>
      <c r="C23" s="11">
        <v>44.92</v>
      </c>
      <c r="D23" s="11">
        <v>54.69</v>
      </c>
      <c r="E23" s="11">
        <v>41.29</v>
      </c>
      <c r="F23" s="11">
        <v>137.93</v>
      </c>
      <c r="G23" s="13">
        <f>'Income Statement'!G12*G52/365</f>
        <v>185.0999513424658</v>
      </c>
      <c r="H23" s="13">
        <f>'Income Statement'!H12*H52/365</f>
        <v>193.0013083561644</v>
      </c>
      <c r="I23" s="13">
        <f>'Income Statement'!I12*I52/365</f>
        <v>204.3467103570411</v>
      </c>
      <c r="J23" s="13">
        <f>'Income Statement'!J12*J52/365</f>
        <v>214.70498580731973</v>
      </c>
      <c r="K23" s="13">
        <f>'Income Statement'!K12*K52/365</f>
        <v>226.41030673944181</v>
      </c>
    </row>
    <row r="24" spans="1:12" x14ac:dyDescent="0.25">
      <c r="A24" s="10" t="s">
        <v>215</v>
      </c>
      <c r="B24" s="11">
        <v>50.22</v>
      </c>
      <c r="C24" s="11">
        <v>66.58</v>
      </c>
      <c r="D24" s="11">
        <v>150.86000000000001</v>
      </c>
      <c r="E24" s="11">
        <v>148.78</v>
      </c>
      <c r="F24" s="11">
        <v>230.72</v>
      </c>
      <c r="G24" s="13">
        <f>'Income Statement'!G7*G54</f>
        <v>267.05385000000007</v>
      </c>
      <c r="H24" s="13">
        <f>'Income Statement'!H7*H54</f>
        <v>285.13645675000004</v>
      </c>
      <c r="I24" s="13">
        <f>'Income Statement'!I7*I54</f>
        <v>304.94741168000007</v>
      </c>
      <c r="J24" s="13">
        <f>'Income Statement'!J7*J54</f>
        <v>323.67454736016009</v>
      </c>
      <c r="K24" s="13">
        <f>'Income Statement'!K7*K54</f>
        <v>341.32068836691849</v>
      </c>
      <c r="L24" s="2" t="s">
        <v>216</v>
      </c>
    </row>
    <row r="25" spans="1:12" x14ac:dyDescent="0.25">
      <c r="A25" s="10" t="s">
        <v>217</v>
      </c>
      <c r="B25" s="11">
        <v>0</v>
      </c>
      <c r="C25" s="11">
        <v>1.19</v>
      </c>
      <c r="D25" s="11">
        <v>50.42</v>
      </c>
      <c r="E25" s="11">
        <v>10.83</v>
      </c>
      <c r="F25" s="11">
        <v>49.61</v>
      </c>
      <c r="G25" s="12">
        <f>F25</f>
        <v>49.61</v>
      </c>
      <c r="H25" s="12">
        <f>G25</f>
        <v>49.61</v>
      </c>
      <c r="I25" s="12">
        <f>H25</f>
        <v>49.61</v>
      </c>
      <c r="J25" s="12">
        <f>I25</f>
        <v>49.61</v>
      </c>
      <c r="K25" s="12">
        <f>J25</f>
        <v>49.61</v>
      </c>
    </row>
    <row r="26" spans="1:12" x14ac:dyDescent="0.25">
      <c r="A26" s="10" t="s">
        <v>218</v>
      </c>
      <c r="B26" s="11">
        <v>0</v>
      </c>
      <c r="C26" s="11">
        <v>0</v>
      </c>
      <c r="D26" s="11">
        <v>0</v>
      </c>
      <c r="E26" s="11">
        <v>0</v>
      </c>
      <c r="F26" s="11">
        <v>264.08999999999997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2" t="s">
        <v>219</v>
      </c>
    </row>
    <row r="27" spans="1:12" x14ac:dyDescent="0.25">
      <c r="A27" s="10" t="s">
        <v>220</v>
      </c>
      <c r="B27" s="11">
        <v>0</v>
      </c>
      <c r="C27" s="11">
        <v>0</v>
      </c>
      <c r="D27" s="11">
        <v>0</v>
      </c>
      <c r="E27" s="11">
        <v>135.94999999999999</v>
      </c>
      <c r="F27" s="11">
        <v>307.92</v>
      </c>
      <c r="G27" s="13">
        <f>'Income Statement'!G7*G55</f>
        <v>408.43530000000004</v>
      </c>
      <c r="H27" s="13">
        <f>'Income Statement'!H7*H55</f>
        <v>436.09105150000011</v>
      </c>
      <c r="I27" s="13">
        <f>'Income Statement'!I7*I55</f>
        <v>466.39015904000007</v>
      </c>
      <c r="J27" s="13">
        <f>'Income Statement'!J7*J55</f>
        <v>495.03166066848013</v>
      </c>
      <c r="K27" s="13">
        <f>'Income Statement'!K7*K55</f>
        <v>522.01987632587532</v>
      </c>
    </row>
    <row r="28" spans="1:12" x14ac:dyDescent="0.25">
      <c r="A28" s="10" t="s">
        <v>221</v>
      </c>
      <c r="B28" s="11">
        <v>0</v>
      </c>
      <c r="C28" s="11">
        <v>0</v>
      </c>
      <c r="D28" s="11">
        <v>0</v>
      </c>
      <c r="E28" s="11">
        <v>0</v>
      </c>
      <c r="F28" s="11">
        <v>25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2" t="s">
        <v>222</v>
      </c>
    </row>
    <row r="29" spans="1:12" x14ac:dyDescent="0.25">
      <c r="A29" s="10" t="s">
        <v>223</v>
      </c>
      <c r="B29" s="11">
        <v>0</v>
      </c>
      <c r="C29" s="11">
        <v>9.68</v>
      </c>
      <c r="D29" s="11">
        <v>9.51</v>
      </c>
      <c r="E29" s="11">
        <v>9.51</v>
      </c>
      <c r="F29" s="11">
        <v>26.99</v>
      </c>
      <c r="G29" s="12">
        <f>MIN(G77,G79)</f>
        <v>30</v>
      </c>
      <c r="H29" s="12">
        <f>MIN(H77,H79)</f>
        <v>30</v>
      </c>
      <c r="I29" s="12">
        <f>MIN(I77,I79)</f>
        <v>30</v>
      </c>
      <c r="J29" s="12">
        <f>MIN(J77,J79)</f>
        <v>30</v>
      </c>
      <c r="K29" s="12">
        <f>MIN(K77,K79)</f>
        <v>30</v>
      </c>
    </row>
    <row r="30" spans="1:12" x14ac:dyDescent="0.25">
      <c r="A30" s="10" t="s">
        <v>224</v>
      </c>
      <c r="B30" s="11">
        <v>1.65</v>
      </c>
      <c r="C30" s="11">
        <v>38.93</v>
      </c>
      <c r="D30" s="11">
        <v>11.13</v>
      </c>
      <c r="E30" s="11">
        <v>19.18</v>
      </c>
      <c r="F30" s="11">
        <v>29.47</v>
      </c>
      <c r="G30" s="12">
        <f>F30</f>
        <v>29.47</v>
      </c>
      <c r="H30" s="12">
        <f>G30</f>
        <v>29.47</v>
      </c>
      <c r="I30" s="12">
        <f>H30</f>
        <v>29.47</v>
      </c>
      <c r="J30" s="12">
        <f>I30</f>
        <v>29.47</v>
      </c>
      <c r="K30" s="12">
        <f>J30</f>
        <v>29.47</v>
      </c>
      <c r="L30" s="2" t="s">
        <v>225</v>
      </c>
    </row>
    <row r="31" spans="1:12" x14ac:dyDescent="0.25">
      <c r="A31" s="3" t="s">
        <v>226</v>
      </c>
      <c r="B31" s="15">
        <f t="shared" ref="B31:K31" si="3">SUM(B23:B30)</f>
        <v>93.13</v>
      </c>
      <c r="C31" s="15">
        <f t="shared" si="3"/>
        <v>161.30000000000001</v>
      </c>
      <c r="D31" s="15">
        <f t="shared" si="3"/>
        <v>276.61</v>
      </c>
      <c r="E31" s="15">
        <f t="shared" si="3"/>
        <v>365.54</v>
      </c>
      <c r="F31" s="15">
        <f t="shared" si="3"/>
        <v>1071.73</v>
      </c>
      <c r="G31" s="15">
        <f t="shared" si="3"/>
        <v>969.66910134246586</v>
      </c>
      <c r="H31" s="15">
        <f t="shared" si="3"/>
        <v>1023.3088166061646</v>
      </c>
      <c r="I31" s="15">
        <f t="shared" si="3"/>
        <v>1084.7642810770412</v>
      </c>
      <c r="J31" s="15">
        <f t="shared" si="3"/>
        <v>1142.4911938359601</v>
      </c>
      <c r="K31" s="15">
        <f t="shared" si="3"/>
        <v>1198.8308714322357</v>
      </c>
    </row>
    <row r="32" spans="1:12" x14ac:dyDescent="0.25">
      <c r="A32" s="10" t="s">
        <v>227</v>
      </c>
      <c r="B32" s="11">
        <v>0</v>
      </c>
      <c r="C32" s="11">
        <v>0</v>
      </c>
      <c r="D32" s="11">
        <v>0</v>
      </c>
      <c r="E32" s="11">
        <v>0</v>
      </c>
      <c r="F32" s="11">
        <v>676.93</v>
      </c>
      <c r="G32" s="12">
        <f>G83</f>
        <v>669.93</v>
      </c>
      <c r="H32" s="12">
        <f>H83</f>
        <v>569.92999999999995</v>
      </c>
      <c r="I32" s="12">
        <f>I83</f>
        <v>469.92999999999995</v>
      </c>
      <c r="J32" s="12">
        <f>J83</f>
        <v>369.92999999999995</v>
      </c>
      <c r="K32" s="12">
        <f>K83</f>
        <v>269.92999999999995</v>
      </c>
      <c r="L32" s="2" t="s">
        <v>228</v>
      </c>
    </row>
    <row r="33" spans="1:12" x14ac:dyDescent="0.25">
      <c r="A33" s="10" t="s">
        <v>229</v>
      </c>
      <c r="B33" s="11">
        <v>0</v>
      </c>
      <c r="C33" s="11">
        <v>179.79</v>
      </c>
      <c r="D33" s="11">
        <v>167.23</v>
      </c>
      <c r="E33" s="11">
        <v>157.71</v>
      </c>
      <c r="F33" s="11">
        <v>401.16</v>
      </c>
      <c r="G33" s="12">
        <f>G79-G29</f>
        <v>458.15000000000009</v>
      </c>
      <c r="H33" s="12">
        <f>H79-H29</f>
        <v>428.15000000000009</v>
      </c>
      <c r="I33" s="12">
        <f>I79-I29</f>
        <v>398.15000000000009</v>
      </c>
      <c r="J33" s="12">
        <f>J79-J29</f>
        <v>368.15000000000009</v>
      </c>
      <c r="K33" s="12">
        <f>K79-K29</f>
        <v>338.15000000000009</v>
      </c>
    </row>
    <row r="34" spans="1:12" x14ac:dyDescent="0.25">
      <c r="A34" s="10" t="s">
        <v>230</v>
      </c>
      <c r="B34" s="11">
        <v>3.84</v>
      </c>
      <c r="C34" s="11">
        <v>16.399999999999999</v>
      </c>
      <c r="D34" s="11">
        <v>4.03</v>
      </c>
      <c r="E34" s="11">
        <v>19.21</v>
      </c>
      <c r="F34" s="11">
        <v>28.36</v>
      </c>
      <c r="G34" s="12">
        <f>F34</f>
        <v>28.36</v>
      </c>
      <c r="H34" s="12">
        <f>G34</f>
        <v>28.36</v>
      </c>
      <c r="I34" s="12">
        <f>H34</f>
        <v>28.36</v>
      </c>
      <c r="J34" s="12">
        <f>I34</f>
        <v>28.36</v>
      </c>
      <c r="K34" s="12">
        <f>J34</f>
        <v>28.36</v>
      </c>
    </row>
    <row r="35" spans="1:12" x14ac:dyDescent="0.25">
      <c r="A35" s="17" t="s">
        <v>231</v>
      </c>
      <c r="B35" s="18">
        <f t="shared" ref="B35:K35" si="4">B31+SUM(B32:B34)</f>
        <v>96.97</v>
      </c>
      <c r="C35" s="18">
        <f t="shared" si="4"/>
        <v>357.49</v>
      </c>
      <c r="D35" s="18">
        <f t="shared" si="4"/>
        <v>447.87</v>
      </c>
      <c r="E35" s="18">
        <f t="shared" si="4"/>
        <v>542.46</v>
      </c>
      <c r="F35" s="18">
        <f t="shared" si="4"/>
        <v>2178.1799999999998</v>
      </c>
      <c r="G35" s="18">
        <f t="shared" si="4"/>
        <v>2126.1091013424657</v>
      </c>
      <c r="H35" s="18">
        <f t="shared" si="4"/>
        <v>2049.7488166061648</v>
      </c>
      <c r="I35" s="18">
        <f t="shared" si="4"/>
        <v>1981.2042810770413</v>
      </c>
      <c r="J35" s="18">
        <f t="shared" si="4"/>
        <v>1908.9311938359601</v>
      </c>
      <c r="K35" s="18">
        <f t="shared" si="4"/>
        <v>1835.2708714322357</v>
      </c>
    </row>
    <row r="36" spans="1:12" x14ac:dyDescent="0.25">
      <c r="A36" s="8" t="s">
        <v>232</v>
      </c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2" x14ac:dyDescent="0.25">
      <c r="A37" s="10" t="s">
        <v>233</v>
      </c>
      <c r="B37" s="11">
        <v>0</v>
      </c>
      <c r="C37" s="11">
        <v>824.49</v>
      </c>
      <c r="D37" s="11">
        <v>824.49</v>
      </c>
      <c r="E37" s="11">
        <v>824.49</v>
      </c>
      <c r="F37" s="11">
        <v>852.36</v>
      </c>
      <c r="G37" s="12">
        <f t="shared" ref="G37:K38" si="5">F37</f>
        <v>852.36</v>
      </c>
      <c r="H37" s="12">
        <f t="shared" si="5"/>
        <v>852.36</v>
      </c>
      <c r="I37" s="12">
        <f t="shared" si="5"/>
        <v>852.36</v>
      </c>
      <c r="J37" s="12">
        <f t="shared" si="5"/>
        <v>852.36</v>
      </c>
      <c r="K37" s="12">
        <f t="shared" si="5"/>
        <v>852.36</v>
      </c>
      <c r="L37" s="2" t="s">
        <v>234</v>
      </c>
    </row>
    <row r="38" spans="1:12" x14ac:dyDescent="0.25">
      <c r="A38" s="10" t="s">
        <v>235</v>
      </c>
      <c r="B38" s="11">
        <v>0</v>
      </c>
      <c r="C38" s="11">
        <v>0</v>
      </c>
      <c r="D38" s="11">
        <v>0</v>
      </c>
      <c r="E38" s="11">
        <v>0</v>
      </c>
      <c r="F38" s="11">
        <v>907.62</v>
      </c>
      <c r="G38" s="12">
        <f t="shared" si="5"/>
        <v>907.62</v>
      </c>
      <c r="H38" s="12">
        <f t="shared" si="5"/>
        <v>907.62</v>
      </c>
      <c r="I38" s="12">
        <f t="shared" si="5"/>
        <v>907.62</v>
      </c>
      <c r="J38" s="12">
        <f t="shared" si="5"/>
        <v>907.62</v>
      </c>
      <c r="K38" s="12">
        <f t="shared" si="5"/>
        <v>907.62</v>
      </c>
      <c r="L38" s="2" t="s">
        <v>236</v>
      </c>
    </row>
    <row r="39" spans="1:12" x14ac:dyDescent="0.25">
      <c r="A39" s="8" t="s">
        <v>237</v>
      </c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2" x14ac:dyDescent="0.25">
      <c r="A40" s="10" t="s">
        <v>238</v>
      </c>
      <c r="B40" s="11">
        <v>267.93</v>
      </c>
      <c r="C40" s="11">
        <v>280.75</v>
      </c>
      <c r="D40" s="11">
        <v>276.8</v>
      </c>
      <c r="E40" s="11">
        <v>300.24</v>
      </c>
      <c r="F40" s="11">
        <v>1050.6199999999999</v>
      </c>
      <c r="G40" s="13">
        <f>F40+'Income Statement'!G32</f>
        <v>1086.7508149999999</v>
      </c>
      <c r="H40" s="13">
        <f>G40+'Income Statement'!H32</f>
        <v>1125.3281003249999</v>
      </c>
      <c r="I40" s="13">
        <f>H40+'Income Statement'!I32</f>
        <v>1166.5856913169998</v>
      </c>
      <c r="J40" s="13">
        <f>I40+'Income Statement'!J32</f>
        <v>1210.3769536069037</v>
      </c>
      <c r="K40" s="13">
        <f>J40+'Income Statement'!K32</f>
        <v>1256.5556349741928</v>
      </c>
    </row>
    <row r="41" spans="1:12" x14ac:dyDescent="0.25">
      <c r="A41" s="10" t="s">
        <v>239</v>
      </c>
      <c r="B41" s="11">
        <v>0</v>
      </c>
      <c r="C41" s="11">
        <v>0</v>
      </c>
      <c r="D41" s="11">
        <v>0</v>
      </c>
      <c r="E41" s="11">
        <v>-2.59</v>
      </c>
      <c r="F41" s="11">
        <v>-48.23</v>
      </c>
      <c r="G41" s="12">
        <f>F41-G88</f>
        <v>-273.23</v>
      </c>
      <c r="H41" s="12">
        <f>G41-H88</f>
        <v>-473.23</v>
      </c>
      <c r="I41" s="12">
        <f>H41-I88</f>
        <v>-723.23</v>
      </c>
      <c r="J41" s="12">
        <f>I41-J88</f>
        <v>-1023.23</v>
      </c>
      <c r="K41" s="12">
        <f>J41-K88</f>
        <v>-1373.23</v>
      </c>
    </row>
    <row r="42" spans="1:12" x14ac:dyDescent="0.25">
      <c r="A42" s="10" t="s">
        <v>240</v>
      </c>
      <c r="B42" s="11">
        <v>0.61</v>
      </c>
      <c r="C42" s="11">
        <v>-1.88</v>
      </c>
      <c r="D42" s="11">
        <v>-0.7</v>
      </c>
      <c r="E42" s="11">
        <v>-3.25</v>
      </c>
      <c r="F42" s="11">
        <v>3.16</v>
      </c>
      <c r="G42" s="12">
        <f>F42</f>
        <v>3.16</v>
      </c>
      <c r="H42" s="12">
        <f>G42</f>
        <v>3.16</v>
      </c>
      <c r="I42" s="12">
        <f>H42</f>
        <v>3.16</v>
      </c>
      <c r="J42" s="12">
        <f>I42</f>
        <v>3.16</v>
      </c>
      <c r="K42" s="12">
        <f>J42</f>
        <v>3.16</v>
      </c>
    </row>
    <row r="43" spans="1:12" x14ac:dyDescent="0.25">
      <c r="A43" s="10" t="s">
        <v>241</v>
      </c>
      <c r="B43" s="11">
        <v>-51.49</v>
      </c>
      <c r="C43" s="11">
        <v>-238.77</v>
      </c>
      <c r="D43" s="11">
        <v>-12.05</v>
      </c>
      <c r="E43" s="11">
        <v>105.52</v>
      </c>
      <c r="F43" s="11">
        <v>175.91</v>
      </c>
      <c r="G43" s="13">
        <f>F43+'Income Statement'!G46-'Income Statement'!G48</f>
        <v>508.21329925000009</v>
      </c>
      <c r="H43" s="13">
        <f>G43+'Income Statement'!H46-'Income Statement'!H48</f>
        <v>1002.42162573871</v>
      </c>
      <c r="I43" s="13">
        <f>H43+'Income Statement'!I46-'Income Statement'!I48</f>
        <v>1579.1169329439213</v>
      </c>
      <c r="J43" s="13">
        <f>I43+'Income Statement'!J46-'Income Statement'!J48</f>
        <v>2225.833141768825</v>
      </c>
      <c r="K43" s="13">
        <f>J43+'Income Statement'!K46-'Income Statement'!K48</f>
        <v>2927.5686429233324</v>
      </c>
    </row>
    <row r="44" spans="1:12" x14ac:dyDescent="0.25">
      <c r="A44" s="3" t="s">
        <v>242</v>
      </c>
      <c r="B44" s="15">
        <f t="shared" ref="B44:K44" si="6">SUM(B40:B43)</f>
        <v>217.05</v>
      </c>
      <c r="C44" s="15">
        <f t="shared" si="6"/>
        <v>40.099999999999994</v>
      </c>
      <c r="D44" s="15">
        <f t="shared" si="6"/>
        <v>264.05</v>
      </c>
      <c r="E44" s="15">
        <f t="shared" si="6"/>
        <v>399.92</v>
      </c>
      <c r="F44" s="15">
        <f t="shared" si="6"/>
        <v>1181.4599999999998</v>
      </c>
      <c r="G44" s="15">
        <f t="shared" si="6"/>
        <v>1324.8941142499998</v>
      </c>
      <c r="H44" s="15">
        <f t="shared" si="6"/>
        <v>1657.6797260637099</v>
      </c>
      <c r="I44" s="15">
        <f t="shared" si="6"/>
        <v>2025.6326242609211</v>
      </c>
      <c r="J44" s="15">
        <f t="shared" si="6"/>
        <v>2416.1400953757288</v>
      </c>
      <c r="K44" s="15">
        <f t="shared" si="6"/>
        <v>2814.054277897525</v>
      </c>
    </row>
    <row r="45" spans="1:12" x14ac:dyDescent="0.25">
      <c r="A45" s="17" t="s">
        <v>243</v>
      </c>
      <c r="B45" s="18">
        <f t="shared" ref="B45:K45" si="7">B35+B37+B38+B44</f>
        <v>314.02</v>
      </c>
      <c r="C45" s="18">
        <f t="shared" si="7"/>
        <v>1222.08</v>
      </c>
      <c r="D45" s="18">
        <f t="shared" si="7"/>
        <v>1536.41</v>
      </c>
      <c r="E45" s="18">
        <f t="shared" si="7"/>
        <v>1766.8700000000001</v>
      </c>
      <c r="F45" s="18">
        <f t="shared" si="7"/>
        <v>5119.62</v>
      </c>
      <c r="G45" s="18">
        <f t="shared" si="7"/>
        <v>5210.9832155924651</v>
      </c>
      <c r="H45" s="18">
        <f t="shared" si="7"/>
        <v>5467.4085426698748</v>
      </c>
      <c r="I45" s="18">
        <f t="shared" si="7"/>
        <v>5766.8169053379625</v>
      </c>
      <c r="J45" s="18">
        <f t="shared" si="7"/>
        <v>6085.0512892116894</v>
      </c>
      <c r="K45" s="18">
        <f t="shared" si="7"/>
        <v>6409.3051493297608</v>
      </c>
    </row>
    <row r="46" spans="1:12" x14ac:dyDescent="0.25">
      <c r="A46" s="3" t="s">
        <v>244</v>
      </c>
      <c r="B46" s="15">
        <f t="shared" ref="B46:K46" si="8">ROUND(B21-B45,4)</f>
        <v>0</v>
      </c>
      <c r="C46" s="15">
        <f t="shared" si="8"/>
        <v>0</v>
      </c>
      <c r="D46" s="15">
        <f t="shared" si="8"/>
        <v>0</v>
      </c>
      <c r="E46" s="15">
        <f t="shared" si="8"/>
        <v>0</v>
      </c>
      <c r="F46" s="15">
        <f t="shared" si="8"/>
        <v>0</v>
      </c>
      <c r="G46" s="15">
        <f t="shared" si="8"/>
        <v>0</v>
      </c>
      <c r="H46" s="15">
        <f t="shared" si="8"/>
        <v>0</v>
      </c>
      <c r="I46" s="15">
        <f t="shared" si="8"/>
        <v>0</v>
      </c>
      <c r="J46" s="15">
        <f t="shared" si="8"/>
        <v>0</v>
      </c>
      <c r="K46" s="15">
        <f t="shared" si="8"/>
        <v>0</v>
      </c>
    </row>
    <row r="48" spans="1:12" x14ac:dyDescent="0.25">
      <c r="A48" s="8" t="s">
        <v>245</v>
      </c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2" x14ac:dyDescent="0.25">
      <c r="A49" s="3" t="s">
        <v>246</v>
      </c>
    </row>
    <row r="50" spans="1:12" x14ac:dyDescent="0.25">
      <c r="A50" s="10" t="s">
        <v>247</v>
      </c>
      <c r="B50" s="28">
        <f>B9/'Income Statement'!B7*365</f>
        <v>48.00155916886753</v>
      </c>
      <c r="C50" s="28">
        <f>C9/'Income Statement'!C7*365</f>
        <v>37.018787962240481</v>
      </c>
      <c r="D50" s="28">
        <f>D9/'Income Statement'!D7*365</f>
        <v>51.51462041547169</v>
      </c>
      <c r="E50" s="28">
        <f>E9/'Income Statement'!E7*365</f>
        <v>72.789982295662426</v>
      </c>
      <c r="F50" s="28">
        <f>F9/'Income Statement'!F7*365</f>
        <v>109.63335944053721</v>
      </c>
      <c r="G50" s="29">
        <v>85</v>
      </c>
      <c r="H50" s="29">
        <v>85</v>
      </c>
      <c r="I50" s="29">
        <v>85</v>
      </c>
      <c r="J50" s="29">
        <v>85</v>
      </c>
      <c r="K50" s="29">
        <v>85</v>
      </c>
      <c r="L50" s="2" t="s">
        <v>248</v>
      </c>
    </row>
    <row r="51" spans="1:12" x14ac:dyDescent="0.25">
      <c r="A51" s="10" t="s">
        <v>249</v>
      </c>
      <c r="B51" s="28">
        <f>B10/'Income Statement'!B12*365</f>
        <v>375.04191295002687</v>
      </c>
      <c r="C51" s="28">
        <f>C10/'Income Statement'!C12*365</f>
        <v>165.25800804723832</v>
      </c>
      <c r="D51" s="28">
        <f>D10/'Income Statement'!D12*365</f>
        <v>122.19250087606588</v>
      </c>
      <c r="E51" s="28">
        <f>E10/'Income Statement'!E12*365</f>
        <v>70.884856829824415</v>
      </c>
      <c r="F51" s="28">
        <f>F10/'Income Statement'!F12*365</f>
        <v>98.77117489622897</v>
      </c>
      <c r="G51" s="29">
        <v>85</v>
      </c>
      <c r="H51" s="29">
        <v>80</v>
      </c>
      <c r="I51" s="29">
        <v>80</v>
      </c>
      <c r="J51" s="29">
        <v>80</v>
      </c>
      <c r="K51" s="29">
        <v>80</v>
      </c>
    </row>
    <row r="52" spans="1:12" x14ac:dyDescent="0.25">
      <c r="A52" s="10" t="s">
        <v>250</v>
      </c>
      <c r="B52" s="28">
        <f>B23/'Income Statement'!B12*365</f>
        <v>80.923696937130572</v>
      </c>
      <c r="C52" s="28">
        <f>C23/'Income Statement'!C12*365</f>
        <v>42.837957882635735</v>
      </c>
      <c r="D52" s="28">
        <f>D23/'Income Statement'!D12*365</f>
        <v>29.146492816259784</v>
      </c>
      <c r="E52" s="28">
        <f>E23/'Income Statement'!E12*365</f>
        <v>22.313301353232063</v>
      </c>
      <c r="F52" s="28">
        <f>F23/'Income Statement'!F12*365</f>
        <v>40.342043687997823</v>
      </c>
      <c r="G52" s="29">
        <v>42</v>
      </c>
      <c r="H52" s="29">
        <v>42</v>
      </c>
      <c r="I52" s="29">
        <v>42</v>
      </c>
      <c r="J52" s="29">
        <v>42</v>
      </c>
      <c r="K52" s="29">
        <v>42</v>
      </c>
    </row>
    <row r="53" spans="1:12" x14ac:dyDescent="0.25">
      <c r="A53" s="10" t="s">
        <v>251</v>
      </c>
      <c r="B53" s="26">
        <f>B11/'Income Statement'!B7</f>
        <v>4.3147611926050849E-2</v>
      </c>
      <c r="C53" s="26">
        <f>C11/'Income Statement'!C7</f>
        <v>1.734979574975903E-2</v>
      </c>
      <c r="D53" s="26">
        <f>D11/'Income Statement'!D7</f>
        <v>1.4794919652205581E-2</v>
      </c>
      <c r="E53" s="26">
        <f>E11/'Income Statement'!E7</f>
        <v>1.3838890528179404E-2</v>
      </c>
      <c r="F53" s="26">
        <f>F11/'Income Statement'!F7</f>
        <v>5.1211201978316447E-2</v>
      </c>
      <c r="G53" s="16">
        <v>2.5000000000000001E-2</v>
      </c>
      <c r="H53" s="16">
        <v>2.5000000000000001E-2</v>
      </c>
      <c r="I53" s="16">
        <v>2.5000000000000001E-2</v>
      </c>
      <c r="J53" s="16">
        <v>2.5000000000000001E-2</v>
      </c>
      <c r="K53" s="16">
        <v>2.5000000000000001E-2</v>
      </c>
    </row>
    <row r="54" spans="1:12" x14ac:dyDescent="0.25">
      <c r="A54" s="10" t="s">
        <v>252</v>
      </c>
      <c r="B54" s="26">
        <f>B24/'Income Statement'!B7</f>
        <v>0.15979889903586089</v>
      </c>
      <c r="C54" s="26">
        <f>C24/'Income Statement'!C7</f>
        <v>0.1018650265448815</v>
      </c>
      <c r="D54" s="26">
        <f>D24/'Income Statement'!D7</f>
        <v>0.11445956814008894</v>
      </c>
      <c r="E54" s="26">
        <f>E24/'Income Statement'!E7</f>
        <v>0.10975213927412215</v>
      </c>
      <c r="F54" s="26">
        <f>F24/'Income Statement'!F7</f>
        <v>9.1727727043220006E-2</v>
      </c>
      <c r="G54" s="16">
        <v>8.5000000000000006E-2</v>
      </c>
      <c r="H54" s="16">
        <v>8.5000000000000006E-2</v>
      </c>
      <c r="I54" s="16">
        <v>8.5000000000000006E-2</v>
      </c>
      <c r="J54" s="16">
        <v>8.5000000000000006E-2</v>
      </c>
      <c r="K54" s="16">
        <v>8.5000000000000006E-2</v>
      </c>
    </row>
    <row r="55" spans="1:12" x14ac:dyDescent="0.25">
      <c r="A55" s="10" t="s">
        <v>253</v>
      </c>
      <c r="B55" s="26">
        <f>B27/'Income Statement'!B7</f>
        <v>0</v>
      </c>
      <c r="C55" s="26">
        <f>C27/'Income Statement'!C7</f>
        <v>0</v>
      </c>
      <c r="D55" s="26">
        <f>D27/'Income Statement'!D7</f>
        <v>0</v>
      </c>
      <c r="E55" s="26">
        <f>E27/'Income Statement'!E7</f>
        <v>0.1002876954853939</v>
      </c>
      <c r="F55" s="26">
        <f>F27/'Income Statement'!F7</f>
        <v>0.12242025706981756</v>
      </c>
      <c r="G55" s="16">
        <v>0.13</v>
      </c>
      <c r="H55" s="16">
        <v>0.13</v>
      </c>
      <c r="I55" s="16">
        <v>0.13</v>
      </c>
      <c r="J55" s="16">
        <v>0.13</v>
      </c>
      <c r="K55" s="16">
        <v>0.13</v>
      </c>
      <c r="L55" s="2" t="s">
        <v>254</v>
      </c>
    </row>
    <row r="56" spans="1:12" x14ac:dyDescent="0.25">
      <c r="A56" s="3" t="s">
        <v>255</v>
      </c>
    </row>
    <row r="57" spans="1:12" x14ac:dyDescent="0.25">
      <c r="A57" s="10" t="s">
        <v>256</v>
      </c>
      <c r="G57" s="12">
        <f>F14</f>
        <v>87.91</v>
      </c>
      <c r="H57" s="12">
        <f>G14</f>
        <v>120.97154999999999</v>
      </c>
      <c r="I57" s="12">
        <f>H14</f>
        <v>151.93430025000001</v>
      </c>
      <c r="J57" s="12">
        <f>I14</f>
        <v>177.85144472200002</v>
      </c>
      <c r="K57" s="12">
        <f>J14</f>
        <v>202.70631548462401</v>
      </c>
    </row>
    <row r="58" spans="1:12" x14ac:dyDescent="0.25">
      <c r="A58" s="10" t="s">
        <v>257</v>
      </c>
      <c r="B58" s="26">
        <f>-'Cash Flow'!B23/'Income Statement'!B7</f>
        <v>1.0023228434148981E-2</v>
      </c>
      <c r="C58" s="26">
        <f>-'Cash Flow'!C23/'Income Statement'!C7</f>
        <v>1.2637505546120776E-2</v>
      </c>
      <c r="D58" s="26">
        <f>-'Cash Flow'!D23/'Income Statement'!D7</f>
        <v>1.3224382027586835E-2</v>
      </c>
      <c r="E58" s="26">
        <f>-'Cash Flow'!E23/'Income Statement'!E7</f>
        <v>1.7254352316317497E-2</v>
      </c>
      <c r="F58" s="26">
        <f>-'Cash Flow'!F23/'Income Statement'!F7</f>
        <v>1.4340408783152505E-2</v>
      </c>
      <c r="G58" s="16">
        <v>1.4999999999999999E-2</v>
      </c>
      <c r="H58" s="16">
        <v>1.4999999999999999E-2</v>
      </c>
      <c r="I58" s="16">
        <v>1.4E-2</v>
      </c>
      <c r="J58" s="16">
        <v>1.4E-2</v>
      </c>
      <c r="K58" s="16">
        <v>1.4E-2</v>
      </c>
      <c r="L58" s="2" t="s">
        <v>258</v>
      </c>
    </row>
    <row r="59" spans="1:12" x14ac:dyDescent="0.25">
      <c r="A59" s="10" t="s">
        <v>259</v>
      </c>
      <c r="G59" s="13">
        <f>'Income Statement'!G7*G58</f>
        <v>47.127150000000007</v>
      </c>
      <c r="H59" s="13">
        <f>'Income Statement'!H7*H58</f>
        <v>50.318198250000002</v>
      </c>
      <c r="I59" s="13">
        <f>'Income Statement'!I7*I58</f>
        <v>50.226632512000002</v>
      </c>
      <c r="J59" s="13">
        <f>'Income Statement'!J7*J58</f>
        <v>53.311101918144011</v>
      </c>
      <c r="K59" s="13">
        <f>'Income Statement'!K7*K58</f>
        <v>56.21752514278657</v>
      </c>
    </row>
    <row r="60" spans="1:12" x14ac:dyDescent="0.25">
      <c r="A60" s="10" t="s">
        <v>260</v>
      </c>
      <c r="G60" s="16">
        <v>0.16</v>
      </c>
      <c r="H60" s="16">
        <v>0.16</v>
      </c>
      <c r="I60" s="16">
        <v>0.16</v>
      </c>
      <c r="J60" s="16">
        <v>0.16</v>
      </c>
      <c r="K60" s="16">
        <v>0.16</v>
      </c>
    </row>
    <row r="61" spans="1:12" x14ac:dyDescent="0.25">
      <c r="A61" s="10" t="s">
        <v>261</v>
      </c>
      <c r="G61" s="12">
        <f>G57*G60</f>
        <v>14.0656</v>
      </c>
      <c r="H61" s="12">
        <f>H57*H60</f>
        <v>19.355447999999999</v>
      </c>
      <c r="I61" s="12">
        <f>I57*I60</f>
        <v>24.309488040000002</v>
      </c>
      <c r="J61" s="12">
        <f>J57*J60</f>
        <v>28.456231155520005</v>
      </c>
      <c r="K61" s="12">
        <f>K57*K60</f>
        <v>32.433010477539845</v>
      </c>
    </row>
    <row r="62" spans="1:12" x14ac:dyDescent="0.25">
      <c r="A62" s="10" t="s">
        <v>262</v>
      </c>
      <c r="G62" s="12">
        <f>G57+G59-G61</f>
        <v>120.97154999999999</v>
      </c>
      <c r="H62" s="12">
        <f>H57+H59-H61</f>
        <v>151.93430025000001</v>
      </c>
      <c r="I62" s="12">
        <f>I57+I59-I61</f>
        <v>177.85144472200002</v>
      </c>
      <c r="J62" s="12">
        <f>J57+J59-J61</f>
        <v>202.70631548462401</v>
      </c>
      <c r="K62" s="12">
        <f>K57+K59-K61</f>
        <v>226.49083014987073</v>
      </c>
    </row>
    <row r="63" spans="1:12" x14ac:dyDescent="0.25">
      <c r="A63" s="3" t="s">
        <v>263</v>
      </c>
    </row>
    <row r="64" spans="1:12" x14ac:dyDescent="0.25">
      <c r="A64" s="10" t="s">
        <v>264</v>
      </c>
      <c r="G64" s="12">
        <f>F18</f>
        <v>111.6</v>
      </c>
      <c r="H64" s="12">
        <f>G18</f>
        <v>87.399999999999991</v>
      </c>
      <c r="I64" s="12">
        <f>H18</f>
        <v>63.199999999999989</v>
      </c>
      <c r="J64" s="12">
        <f>I18</f>
        <v>38.999999999999986</v>
      </c>
      <c r="K64" s="12">
        <f>J18</f>
        <v>14.799999999999986</v>
      </c>
    </row>
    <row r="65" spans="1:12" x14ac:dyDescent="0.25">
      <c r="A65" s="10" t="s">
        <v>265</v>
      </c>
      <c r="G65" s="11">
        <v>24.2</v>
      </c>
      <c r="H65" s="11">
        <v>24.2</v>
      </c>
      <c r="I65" s="11">
        <v>24.2</v>
      </c>
      <c r="J65" s="11">
        <v>24.2</v>
      </c>
      <c r="K65" s="11">
        <v>24.2</v>
      </c>
      <c r="L65" s="2" t="s">
        <v>266</v>
      </c>
    </row>
    <row r="66" spans="1:12" x14ac:dyDescent="0.25">
      <c r="A66" s="10" t="s">
        <v>267</v>
      </c>
      <c r="G66" s="12">
        <f>MIN(G64,G65)</f>
        <v>24.2</v>
      </c>
      <c r="H66" s="12">
        <f>MIN(H64,H65)</f>
        <v>24.2</v>
      </c>
      <c r="I66" s="12">
        <f>MIN(I64,I65)</f>
        <v>24.2</v>
      </c>
      <c r="J66" s="12">
        <f>MIN(J64,J65)</f>
        <v>24.2</v>
      </c>
      <c r="K66" s="12">
        <f>MIN(K64,K65)</f>
        <v>14.799999999999986</v>
      </c>
    </row>
    <row r="67" spans="1:12" x14ac:dyDescent="0.25">
      <c r="A67" s="10" t="s">
        <v>268</v>
      </c>
      <c r="G67" s="12">
        <f>G64-G66</f>
        <v>87.399999999999991</v>
      </c>
      <c r="H67" s="12">
        <f>H64-H66</f>
        <v>63.199999999999989</v>
      </c>
      <c r="I67" s="12">
        <f>I64-I66</f>
        <v>38.999999999999986</v>
      </c>
      <c r="J67" s="12">
        <f>J64-J66</f>
        <v>14.799999999999986</v>
      </c>
      <c r="K67" s="12">
        <f>K64-K66</f>
        <v>0</v>
      </c>
    </row>
    <row r="68" spans="1:12" x14ac:dyDescent="0.25">
      <c r="A68" s="3" t="s">
        <v>269</v>
      </c>
      <c r="B68" s="20">
        <f>'Income Statement'!B29</f>
        <v>1.26</v>
      </c>
      <c r="C68" s="20">
        <f>'Income Statement'!C29</f>
        <v>1.92</v>
      </c>
      <c r="D68" s="20">
        <f>'Income Statement'!D29</f>
        <v>3.23</v>
      </c>
      <c r="E68" s="20">
        <f>'Income Statement'!E29</f>
        <v>7.27</v>
      </c>
      <c r="F68" s="20">
        <f>'Income Statement'!F29</f>
        <v>29.45</v>
      </c>
      <c r="G68" s="15">
        <f>G61+G66</f>
        <v>38.265599999999999</v>
      </c>
      <c r="H68" s="15">
        <f>H61+H66</f>
        <v>43.555447999999998</v>
      </c>
      <c r="I68" s="15">
        <f>I61+I66</f>
        <v>48.509488040000001</v>
      </c>
      <c r="J68" s="15">
        <f>J61+J66</f>
        <v>52.656231155520004</v>
      </c>
      <c r="K68" s="15">
        <f>K61+K66</f>
        <v>47.233010477539835</v>
      </c>
    </row>
    <row r="69" spans="1:12" x14ac:dyDescent="0.25">
      <c r="A69" s="3" t="s">
        <v>270</v>
      </c>
    </row>
    <row r="70" spans="1:12" x14ac:dyDescent="0.25">
      <c r="A70" s="10" t="s">
        <v>264</v>
      </c>
      <c r="G70" s="12">
        <f>F12+F16</f>
        <v>820.8</v>
      </c>
      <c r="H70" s="12">
        <f>G12+G16</f>
        <v>771.3</v>
      </c>
      <c r="I70" s="12">
        <f>H12+H16</f>
        <v>721.8</v>
      </c>
      <c r="J70" s="12">
        <f>I12+I16</f>
        <v>672.3</v>
      </c>
      <c r="K70" s="12">
        <f>J12+J16</f>
        <v>622.79999999999995</v>
      </c>
    </row>
    <row r="71" spans="1:12" x14ac:dyDescent="0.25">
      <c r="A71" s="10" t="s">
        <v>271</v>
      </c>
      <c r="G71" s="11">
        <v>49.5</v>
      </c>
      <c r="H71" s="11">
        <v>49.5</v>
      </c>
      <c r="I71" s="11">
        <v>49.5</v>
      </c>
      <c r="J71" s="11">
        <v>49.5</v>
      </c>
      <c r="K71" s="11">
        <v>49.5</v>
      </c>
      <c r="L71" s="2" t="s">
        <v>272</v>
      </c>
    </row>
    <row r="72" spans="1:12" x14ac:dyDescent="0.25">
      <c r="A72" s="10" t="s">
        <v>267</v>
      </c>
      <c r="G72" s="12">
        <f>MIN(G70,G71)</f>
        <v>49.5</v>
      </c>
      <c r="H72" s="12">
        <f>MIN(H70,H71)</f>
        <v>49.5</v>
      </c>
      <c r="I72" s="12">
        <f>MIN(I70,I71)</f>
        <v>49.5</v>
      </c>
      <c r="J72" s="12">
        <f>MIN(J70,J71)</f>
        <v>49.5</v>
      </c>
      <c r="K72" s="12">
        <f>MIN(K70,K71)</f>
        <v>49.5</v>
      </c>
    </row>
    <row r="73" spans="1:12" x14ac:dyDescent="0.25">
      <c r="A73" s="10" t="s">
        <v>268</v>
      </c>
      <c r="G73" s="12">
        <f>G70-G72</f>
        <v>771.3</v>
      </c>
      <c r="H73" s="12">
        <f>H70-H72</f>
        <v>721.8</v>
      </c>
      <c r="I73" s="12">
        <f>I70-I72</f>
        <v>672.3</v>
      </c>
      <c r="J73" s="12">
        <f>J70-J72</f>
        <v>622.79999999999995</v>
      </c>
      <c r="K73" s="12">
        <f>K70-K72</f>
        <v>573.29999999999995</v>
      </c>
    </row>
    <row r="74" spans="1:12" x14ac:dyDescent="0.25">
      <c r="A74" s="3" t="s">
        <v>273</v>
      </c>
    </row>
    <row r="75" spans="1:12" x14ac:dyDescent="0.25">
      <c r="A75" s="10" t="s">
        <v>264</v>
      </c>
      <c r="G75" s="12">
        <f>F29+F33</f>
        <v>428.15000000000003</v>
      </c>
      <c r="H75" s="12">
        <f>G29+G33</f>
        <v>488.15000000000009</v>
      </c>
      <c r="I75" s="12">
        <f>H29+H33</f>
        <v>458.15000000000009</v>
      </c>
      <c r="J75" s="12">
        <f>I29+I33</f>
        <v>428.15000000000009</v>
      </c>
      <c r="K75" s="12">
        <f>J29+J33</f>
        <v>398.15000000000009</v>
      </c>
    </row>
    <row r="76" spans="1:12" x14ac:dyDescent="0.25">
      <c r="A76" s="10" t="s">
        <v>274</v>
      </c>
      <c r="G76" s="11">
        <v>90</v>
      </c>
      <c r="H76" s="11">
        <v>0</v>
      </c>
      <c r="I76" s="11">
        <v>0</v>
      </c>
      <c r="J76" s="11">
        <v>0</v>
      </c>
      <c r="K76" s="11">
        <v>0</v>
      </c>
      <c r="L76" s="2" t="s">
        <v>275</v>
      </c>
    </row>
    <row r="77" spans="1:12" x14ac:dyDescent="0.25">
      <c r="A77" s="10" t="s">
        <v>271</v>
      </c>
      <c r="G77" s="11">
        <v>30</v>
      </c>
      <c r="H77" s="11">
        <v>30</v>
      </c>
      <c r="I77" s="11">
        <v>30</v>
      </c>
      <c r="J77" s="11">
        <v>30</v>
      </c>
      <c r="K77" s="11">
        <v>30</v>
      </c>
      <c r="L77" s="2" t="s">
        <v>276</v>
      </c>
    </row>
    <row r="78" spans="1:12" x14ac:dyDescent="0.25">
      <c r="A78" s="10" t="s">
        <v>267</v>
      </c>
      <c r="G78" s="12">
        <f>MIN(G75+G76,G77)</f>
        <v>30</v>
      </c>
      <c r="H78" s="12">
        <f>MIN(H75+H76,H77)</f>
        <v>30</v>
      </c>
      <c r="I78" s="12">
        <f>MIN(I75+I76,I77)</f>
        <v>30</v>
      </c>
      <c r="J78" s="12">
        <f>MIN(J75+J76,J77)</f>
        <v>30</v>
      </c>
      <c r="K78" s="12">
        <f>MIN(K75+K76,K77)</f>
        <v>30</v>
      </c>
    </row>
    <row r="79" spans="1:12" x14ac:dyDescent="0.25">
      <c r="A79" s="10" t="s">
        <v>268</v>
      </c>
      <c r="G79" s="12">
        <f>G75+G76-G78</f>
        <v>488.15000000000009</v>
      </c>
      <c r="H79" s="12">
        <f>H75+H76-H78</f>
        <v>458.15000000000009</v>
      </c>
      <c r="I79" s="12">
        <f>I75+I76-I78</f>
        <v>428.15000000000009</v>
      </c>
      <c r="J79" s="12">
        <f>J75+J76-J78</f>
        <v>398.15000000000009</v>
      </c>
      <c r="K79" s="12">
        <f>K75+K76-K78</f>
        <v>368.15000000000009</v>
      </c>
    </row>
    <row r="80" spans="1:12" x14ac:dyDescent="0.25">
      <c r="A80" s="3" t="s">
        <v>277</v>
      </c>
    </row>
    <row r="81" spans="1:12" x14ac:dyDescent="0.25">
      <c r="A81" s="10" t="s">
        <v>278</v>
      </c>
      <c r="G81" s="12">
        <f>F32</f>
        <v>676.93</v>
      </c>
      <c r="H81" s="12">
        <f>G32</f>
        <v>669.93</v>
      </c>
      <c r="I81" s="12">
        <f>H32</f>
        <v>569.92999999999995</v>
      </c>
      <c r="J81" s="12">
        <f>I32</f>
        <v>469.92999999999995</v>
      </c>
      <c r="K81" s="12">
        <f>J32</f>
        <v>369.92999999999995</v>
      </c>
    </row>
    <row r="82" spans="1:12" x14ac:dyDescent="0.25">
      <c r="A82" s="10" t="s">
        <v>279</v>
      </c>
      <c r="G82" s="11">
        <v>7</v>
      </c>
      <c r="H82" s="11">
        <v>100</v>
      </c>
      <c r="I82" s="11">
        <v>100</v>
      </c>
      <c r="J82" s="11">
        <v>100</v>
      </c>
      <c r="K82" s="11">
        <v>100</v>
      </c>
      <c r="L82" s="2" t="s">
        <v>280</v>
      </c>
    </row>
    <row r="83" spans="1:12" x14ac:dyDescent="0.25">
      <c r="A83" s="10" t="s">
        <v>281</v>
      </c>
      <c r="G83" s="12">
        <f>MAX(0,G81-G82)</f>
        <v>669.93</v>
      </c>
      <c r="H83" s="12">
        <f>MAX(0,H81-H82)</f>
        <v>569.92999999999995</v>
      </c>
      <c r="I83" s="12">
        <f>MAX(0,I81-I82)</f>
        <v>469.92999999999995</v>
      </c>
      <c r="J83" s="12">
        <f>MAX(0,J81-J82)</f>
        <v>369.92999999999995</v>
      </c>
      <c r="K83" s="12">
        <f>MAX(0,K81-K82)</f>
        <v>269.92999999999995</v>
      </c>
    </row>
    <row r="84" spans="1:12" x14ac:dyDescent="0.25">
      <c r="A84" s="10" t="s">
        <v>282</v>
      </c>
      <c r="G84" s="16">
        <v>6.7500000000000004E-2</v>
      </c>
      <c r="H84" s="16">
        <v>6.7500000000000004E-2</v>
      </c>
      <c r="I84" s="16">
        <v>6.7500000000000004E-2</v>
      </c>
      <c r="J84" s="16">
        <v>6.7500000000000004E-2</v>
      </c>
      <c r="K84" s="16">
        <v>6.7500000000000004E-2</v>
      </c>
      <c r="L84" s="2" t="s">
        <v>283</v>
      </c>
    </row>
    <row r="85" spans="1:12" x14ac:dyDescent="0.25">
      <c r="A85" s="10" t="s">
        <v>284</v>
      </c>
      <c r="G85" s="12">
        <f>(G81+G83)/2*G84</f>
        <v>45.456524999999999</v>
      </c>
      <c r="H85" s="12">
        <f>(H81+H83)/2*H84</f>
        <v>41.845275000000001</v>
      </c>
      <c r="I85" s="12">
        <f>(I81+I83)/2*I84</f>
        <v>35.095275000000001</v>
      </c>
      <c r="J85" s="12">
        <f>(J81+J83)/2*J84</f>
        <v>28.345274999999997</v>
      </c>
      <c r="K85" s="12">
        <f>(K81+K83)/2*K84</f>
        <v>21.595274999999997</v>
      </c>
    </row>
    <row r="86" spans="1:12" x14ac:dyDescent="0.25">
      <c r="A86" s="10" t="s">
        <v>285</v>
      </c>
      <c r="G86" s="16">
        <v>2.5000000000000001E-2</v>
      </c>
      <c r="H86" s="16">
        <v>2.5000000000000001E-2</v>
      </c>
      <c r="I86" s="16">
        <v>2.5000000000000001E-2</v>
      </c>
      <c r="J86" s="16">
        <v>2.5000000000000001E-2</v>
      </c>
      <c r="K86" s="16">
        <v>2.5000000000000001E-2</v>
      </c>
      <c r="L86" s="2" t="s">
        <v>286</v>
      </c>
    </row>
    <row r="87" spans="1:12" x14ac:dyDescent="0.25">
      <c r="A87" s="3" t="s">
        <v>287</v>
      </c>
    </row>
    <row r="88" spans="1:12" x14ac:dyDescent="0.25">
      <c r="A88" s="10" t="s">
        <v>288</v>
      </c>
      <c r="B88" s="11">
        <v>0</v>
      </c>
      <c r="C88" s="11">
        <v>0</v>
      </c>
      <c r="D88" s="11">
        <v>0</v>
      </c>
      <c r="E88" s="11">
        <v>2.2599999999999998</v>
      </c>
      <c r="F88" s="11">
        <v>45.5</v>
      </c>
      <c r="G88" s="11">
        <v>225</v>
      </c>
      <c r="H88" s="11">
        <v>200</v>
      </c>
      <c r="I88" s="11">
        <v>250</v>
      </c>
      <c r="J88" s="11">
        <v>300</v>
      </c>
      <c r="K88" s="11">
        <v>350</v>
      </c>
      <c r="L88" s="2" t="s">
        <v>289</v>
      </c>
    </row>
    <row r="89" spans="1:12" x14ac:dyDescent="0.25">
      <c r="A89" s="10" t="s">
        <v>290</v>
      </c>
      <c r="G89" s="30">
        <v>30</v>
      </c>
      <c r="H89" s="30">
        <v>33</v>
      </c>
      <c r="I89" s="30">
        <v>36.299999999999997</v>
      </c>
      <c r="J89" s="30">
        <v>39.9</v>
      </c>
      <c r="K89" s="30">
        <v>43.9</v>
      </c>
    </row>
    <row r="90" spans="1:12" x14ac:dyDescent="0.25">
      <c r="A90" s="10" t="s">
        <v>291</v>
      </c>
      <c r="G90" s="12">
        <f>F93</f>
        <v>256.91000000000003</v>
      </c>
      <c r="H90" s="12">
        <f>G93</f>
        <v>250.91000000000003</v>
      </c>
      <c r="I90" s="12">
        <f>H93</f>
        <v>246.34939393939396</v>
      </c>
      <c r="J90" s="12">
        <f>I93</f>
        <v>240.96234159779615</v>
      </c>
      <c r="K90" s="12">
        <f>J93</f>
        <v>234.94354460531494</v>
      </c>
    </row>
    <row r="91" spans="1:12" x14ac:dyDescent="0.25">
      <c r="A91" s="10" t="s">
        <v>292</v>
      </c>
      <c r="G91" s="11">
        <v>1.5</v>
      </c>
      <c r="H91" s="11">
        <v>1.5</v>
      </c>
      <c r="I91" s="11">
        <v>1.5</v>
      </c>
      <c r="J91" s="11">
        <v>1.5</v>
      </c>
      <c r="K91" s="11">
        <v>1.5</v>
      </c>
    </row>
    <row r="92" spans="1:12" x14ac:dyDescent="0.25">
      <c r="A92" s="10" t="s">
        <v>293</v>
      </c>
      <c r="G92" s="12">
        <f>G88/G89</f>
        <v>7.5</v>
      </c>
      <c r="H92" s="12">
        <f>H88/H89</f>
        <v>6.0606060606060606</v>
      </c>
      <c r="I92" s="12">
        <f>I88/I89</f>
        <v>6.8870523415977969</v>
      </c>
      <c r="J92" s="12">
        <f>J88/J89</f>
        <v>7.518796992481203</v>
      </c>
      <c r="K92" s="12">
        <f>K88/K89</f>
        <v>7.9726651480637818</v>
      </c>
    </row>
    <row r="93" spans="1:12" x14ac:dyDescent="0.25">
      <c r="A93" s="10" t="s">
        <v>294</v>
      </c>
      <c r="B93" s="11">
        <v>224.73</v>
      </c>
      <c r="C93" s="11">
        <v>229.15</v>
      </c>
      <c r="D93" s="11">
        <v>231.79</v>
      </c>
      <c r="E93" s="11">
        <v>235.01</v>
      </c>
      <c r="F93" s="11">
        <v>256.91000000000003</v>
      </c>
      <c r="G93" s="12">
        <f>G90+G91-G92</f>
        <v>250.91000000000003</v>
      </c>
      <c r="H93" s="12">
        <f>H90+H91-H92</f>
        <v>246.34939393939396</v>
      </c>
      <c r="I93" s="12">
        <f>I90+I91-I92</f>
        <v>240.96234159779615</v>
      </c>
      <c r="J93" s="12">
        <f>J90+J91-J92</f>
        <v>234.94354460531494</v>
      </c>
      <c r="K93" s="12">
        <f>K90+K91-K92</f>
        <v>228.47087945725116</v>
      </c>
      <c r="L93" s="2" t="s">
        <v>295</v>
      </c>
    </row>
    <row r="94" spans="1:12" x14ac:dyDescent="0.25">
      <c r="A94" s="10" t="s">
        <v>296</v>
      </c>
      <c r="G94" s="12">
        <f>(G90+G93)/2</f>
        <v>253.91000000000003</v>
      </c>
      <c r="H94" s="12">
        <f>(H90+H93)/2</f>
        <v>248.62969696969699</v>
      </c>
      <c r="I94" s="12">
        <f>(I90+I93)/2</f>
        <v>243.65586776859504</v>
      </c>
      <c r="J94" s="12">
        <f>(J90+J93)/2</f>
        <v>237.95294310155555</v>
      </c>
      <c r="K94" s="12">
        <f>(K90+K93)/2</f>
        <v>231.70721203128306</v>
      </c>
    </row>
    <row r="95" spans="1:12" x14ac:dyDescent="0.25">
      <c r="A95" s="3" t="s">
        <v>297</v>
      </c>
    </row>
    <row r="96" spans="1:12" x14ac:dyDescent="0.25">
      <c r="A96" s="10" t="s">
        <v>298</v>
      </c>
      <c r="G96" s="11">
        <v>550</v>
      </c>
      <c r="H96" s="11">
        <v>550</v>
      </c>
      <c r="I96" s="11">
        <v>550</v>
      </c>
      <c r="J96" s="11">
        <v>550</v>
      </c>
      <c r="K96" s="11">
        <v>550</v>
      </c>
    </row>
    <row r="97" spans="1:12" x14ac:dyDescent="0.25">
      <c r="A97" s="10" t="s">
        <v>299</v>
      </c>
      <c r="G97" s="11">
        <v>585</v>
      </c>
      <c r="H97" s="11">
        <v>585</v>
      </c>
      <c r="I97" s="11">
        <v>585</v>
      </c>
      <c r="J97" s="11">
        <v>585</v>
      </c>
      <c r="K97" s="11">
        <v>585</v>
      </c>
    </row>
    <row r="98" spans="1:12" x14ac:dyDescent="0.25">
      <c r="A98" s="10" t="s">
        <v>300</v>
      </c>
      <c r="G98" s="16">
        <v>0.05</v>
      </c>
      <c r="H98" s="16">
        <v>0.05</v>
      </c>
      <c r="I98" s="16">
        <v>0.05</v>
      </c>
      <c r="J98" s="16">
        <v>0.05</v>
      </c>
      <c r="K98" s="16">
        <v>0.05</v>
      </c>
      <c r="L98" s="2" t="s">
        <v>301</v>
      </c>
    </row>
    <row r="99" spans="1:12" x14ac:dyDescent="0.25">
      <c r="A99" s="10" t="s">
        <v>302</v>
      </c>
      <c r="G99" s="12">
        <f>(G96+G97)*G98</f>
        <v>56.75</v>
      </c>
      <c r="H99" s="12">
        <f>(H96+H97)*H98</f>
        <v>56.75</v>
      </c>
      <c r="I99" s="12">
        <f>(I96+I97)*I98</f>
        <v>56.75</v>
      </c>
      <c r="J99" s="12">
        <f>(J96+J97)*J98</f>
        <v>56.75</v>
      </c>
      <c r="K99" s="12">
        <f>(K96+K97)*K98</f>
        <v>56.75</v>
      </c>
    </row>
    <row r="100" spans="1:12" x14ac:dyDescent="0.25">
      <c r="A100" s="10" t="s">
        <v>303</v>
      </c>
      <c r="G100" s="11">
        <v>22</v>
      </c>
      <c r="H100" s="11">
        <v>22</v>
      </c>
      <c r="I100" s="11">
        <v>22</v>
      </c>
      <c r="J100" s="11">
        <v>22</v>
      </c>
      <c r="K100" s="11">
        <v>22</v>
      </c>
      <c r="L100" s="2" t="s">
        <v>304</v>
      </c>
    </row>
    <row r="101" spans="1:12" x14ac:dyDescent="0.25">
      <c r="A101" s="10" t="s">
        <v>305</v>
      </c>
      <c r="G101" s="11">
        <v>11.304</v>
      </c>
      <c r="H101" s="11">
        <v>11.304</v>
      </c>
      <c r="I101" s="11">
        <v>11.304</v>
      </c>
      <c r="J101" s="11">
        <v>11.304</v>
      </c>
      <c r="K101" s="11">
        <v>11.304</v>
      </c>
      <c r="L101" s="2" t="s">
        <v>306</v>
      </c>
    </row>
    <row r="102" spans="1:12" x14ac:dyDescent="0.25">
      <c r="A102" s="10" t="s">
        <v>307</v>
      </c>
      <c r="G102" s="14">
        <f>(G100+G101)/(G94+G100+G101)</f>
        <v>0.11595535036592924</v>
      </c>
      <c r="H102" s="14">
        <f>(H100+H101)/(H94+H100+H101)</f>
        <v>0.11812706447636734</v>
      </c>
      <c r="I102" s="14">
        <f>(I100+I101)/(I94+I100+I101)</f>
        <v>0.12024846873419978</v>
      </c>
      <c r="J102" s="14">
        <f>(J100+J101)/(J94+J100+J101)</f>
        <v>0.12277658082850017</v>
      </c>
      <c r="K102" s="14">
        <f>(K100+K101)/(K94+K100+K101)</f>
        <v>0.12567015465016876</v>
      </c>
    </row>
    <row r="104" spans="1:12" x14ac:dyDescent="0.25">
      <c r="A104" s="2" t="s">
        <v>308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L88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52" customWidth="1"/>
    <col min="2" max="11" width="11" customWidth="1"/>
    <col min="12" max="12" width="90" customWidth="1"/>
  </cols>
  <sheetData>
    <row r="1" spans="1:12" ht="18" x14ac:dyDescent="0.25">
      <c r="A1" s="1" t="s">
        <v>309</v>
      </c>
    </row>
    <row r="2" spans="1:12" x14ac:dyDescent="0.25">
      <c r="A2" s="2" t="s">
        <v>1</v>
      </c>
    </row>
    <row r="3" spans="1:12" x14ac:dyDescent="0.25">
      <c r="A3" s="3" t="s">
        <v>2</v>
      </c>
      <c r="B3" s="4" t="str">
        <f>D4</f>
        <v>Base case</v>
      </c>
    </row>
    <row r="4" spans="1:12" x14ac:dyDescent="0.25">
      <c r="A4" s="3" t="s">
        <v>310</v>
      </c>
      <c r="C4" s="31">
        <v>2</v>
      </c>
      <c r="D4" s="3" t="str">
        <f>CHOOSE(C4,"Bull case","Base case","Bear case")</f>
        <v>Base case</v>
      </c>
    </row>
    <row r="5" spans="1:12" x14ac:dyDescent="0.2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7" spans="1:12" x14ac:dyDescent="0.25">
      <c r="A7" s="8" t="s">
        <v>311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2" x14ac:dyDescent="0.25">
      <c r="A8" s="3" t="s">
        <v>312</v>
      </c>
    </row>
    <row r="9" spans="1:12" x14ac:dyDescent="0.25">
      <c r="A9" s="10" t="s">
        <v>313</v>
      </c>
      <c r="G9" s="32">
        <v>0.02</v>
      </c>
      <c r="H9" s="32">
        <v>0.06</v>
      </c>
      <c r="I9" s="32">
        <v>7.0000000000000007E-2</v>
      </c>
      <c r="J9" s="32">
        <v>0.06</v>
      </c>
      <c r="K9" s="32">
        <v>0.05</v>
      </c>
    </row>
    <row r="10" spans="1:12" x14ac:dyDescent="0.25">
      <c r="A10" s="10" t="s">
        <v>314</v>
      </c>
      <c r="C10" s="26">
        <f>'Revenue Model'!C9</f>
        <v>1.2617582417582418</v>
      </c>
      <c r="D10" s="26">
        <f>'Revenue Model'!D9</f>
        <v>1.0460272730217341</v>
      </c>
      <c r="E10" s="26">
        <f>'Revenue Model'!E9</f>
        <v>1.3883831747589781E-2</v>
      </c>
      <c r="F10" s="26">
        <f>'Revenue Model'!F9</f>
        <v>6.5673599400412064E-2</v>
      </c>
      <c r="G10" s="32">
        <v>-0.03</v>
      </c>
      <c r="H10" s="32">
        <v>0.02</v>
      </c>
      <c r="I10" s="32">
        <v>0.04</v>
      </c>
      <c r="J10" s="32">
        <v>0.04</v>
      </c>
      <c r="K10" s="32">
        <v>3.5000000000000003E-2</v>
      </c>
      <c r="L10" s="2" t="s">
        <v>315</v>
      </c>
    </row>
    <row r="11" spans="1:12" x14ac:dyDescent="0.25">
      <c r="A11" s="10" t="s">
        <v>316</v>
      </c>
      <c r="G11" s="32">
        <v>-0.08</v>
      </c>
      <c r="H11" s="32">
        <v>-0.04</v>
      </c>
      <c r="I11" s="32">
        <v>0</v>
      </c>
      <c r="J11" s="32">
        <v>0.01</v>
      </c>
      <c r="K11" s="32">
        <v>0.01</v>
      </c>
    </row>
    <row r="12" spans="1:12" x14ac:dyDescent="0.25">
      <c r="A12" s="3" t="s">
        <v>317</v>
      </c>
      <c r="G12" s="19">
        <f>CHOOSE($C$4,G9,G10,G11)</f>
        <v>-0.03</v>
      </c>
      <c r="H12" s="19">
        <f>CHOOSE($C$4,H9,H10,H11)</f>
        <v>0.02</v>
      </c>
      <c r="I12" s="19">
        <f>CHOOSE($C$4,I9,I10,I11)</f>
        <v>0.04</v>
      </c>
      <c r="J12" s="19">
        <f>CHOOSE($C$4,J9,J10,J11)</f>
        <v>0.04</v>
      </c>
      <c r="K12" s="19">
        <f>CHOOSE($C$4,K9,K10,K11)</f>
        <v>3.5000000000000003E-2</v>
      </c>
    </row>
    <row r="14" spans="1:12" x14ac:dyDescent="0.25">
      <c r="A14" s="3" t="s">
        <v>318</v>
      </c>
    </row>
    <row r="15" spans="1:12" x14ac:dyDescent="0.25">
      <c r="A15" s="10" t="s">
        <v>313</v>
      </c>
      <c r="G15" s="32">
        <v>0.1</v>
      </c>
      <c r="H15" s="32">
        <v>0.18</v>
      </c>
      <c r="I15" s="32">
        <v>0.14000000000000001</v>
      </c>
      <c r="J15" s="32">
        <v>0.11</v>
      </c>
      <c r="K15" s="32">
        <v>0.09</v>
      </c>
    </row>
    <row r="16" spans="1:12" x14ac:dyDescent="0.25">
      <c r="A16" s="10" t="s">
        <v>314</v>
      </c>
      <c r="G16" s="32">
        <v>0.05</v>
      </c>
      <c r="H16" s="32">
        <v>0.12</v>
      </c>
      <c r="I16" s="32">
        <v>0.1</v>
      </c>
      <c r="J16" s="32">
        <v>0.08</v>
      </c>
      <c r="K16" s="32">
        <v>7.0000000000000007E-2</v>
      </c>
      <c r="L16" s="2" t="s">
        <v>319</v>
      </c>
    </row>
    <row r="17" spans="1:12" x14ac:dyDescent="0.25">
      <c r="A17" s="10" t="s">
        <v>316</v>
      </c>
      <c r="G17" s="32">
        <v>0</v>
      </c>
      <c r="H17" s="32">
        <v>0.06</v>
      </c>
      <c r="I17" s="32">
        <v>0.05</v>
      </c>
      <c r="J17" s="32">
        <v>0.04</v>
      </c>
      <c r="K17" s="32">
        <v>0.03</v>
      </c>
    </row>
    <row r="18" spans="1:12" x14ac:dyDescent="0.25">
      <c r="A18" s="3" t="s">
        <v>317</v>
      </c>
      <c r="G18" s="19">
        <f>CHOOSE($C$4,G15,G16,G17)</f>
        <v>0.05</v>
      </c>
      <c r="H18" s="19">
        <f>CHOOSE($C$4,H15,H16,H17)</f>
        <v>0.12</v>
      </c>
      <c r="I18" s="19">
        <f>CHOOSE($C$4,I15,I16,I17)</f>
        <v>0.1</v>
      </c>
      <c r="J18" s="19">
        <f>CHOOSE($C$4,J15,J16,J17)</f>
        <v>0.08</v>
      </c>
      <c r="K18" s="19">
        <f>CHOOSE($C$4,K15,K16,K17)</f>
        <v>7.0000000000000007E-2</v>
      </c>
    </row>
    <row r="20" spans="1:12" x14ac:dyDescent="0.25">
      <c r="A20" s="3" t="s">
        <v>320</v>
      </c>
    </row>
    <row r="21" spans="1:12" x14ac:dyDescent="0.25">
      <c r="A21" s="10" t="s">
        <v>313</v>
      </c>
      <c r="G21" s="32">
        <v>0</v>
      </c>
      <c r="H21" s="32">
        <v>-0.01</v>
      </c>
      <c r="I21" s="32">
        <v>0</v>
      </c>
      <c r="J21" s="32">
        <v>0</v>
      </c>
      <c r="K21" s="32">
        <v>0</v>
      </c>
    </row>
    <row r="22" spans="1:12" x14ac:dyDescent="0.25">
      <c r="A22" s="10" t="s">
        <v>314</v>
      </c>
      <c r="G22" s="32">
        <v>-0.05</v>
      </c>
      <c r="H22" s="32">
        <v>-0.05</v>
      </c>
      <c r="I22" s="32">
        <v>-0.04</v>
      </c>
      <c r="J22" s="32">
        <v>-0.03</v>
      </c>
      <c r="K22" s="32">
        <v>-0.03</v>
      </c>
      <c r="L22" s="2" t="s">
        <v>321</v>
      </c>
    </row>
    <row r="23" spans="1:12" x14ac:dyDescent="0.25">
      <c r="A23" s="10" t="s">
        <v>316</v>
      </c>
      <c r="G23" s="32">
        <v>-0.1</v>
      </c>
      <c r="H23" s="32">
        <v>-0.08</v>
      </c>
      <c r="I23" s="32">
        <v>-7.0000000000000007E-2</v>
      </c>
      <c r="J23" s="32">
        <v>-0.06</v>
      </c>
      <c r="K23" s="32">
        <v>-0.06</v>
      </c>
    </row>
    <row r="24" spans="1:12" x14ac:dyDescent="0.25">
      <c r="A24" s="3" t="s">
        <v>317</v>
      </c>
      <c r="G24" s="19">
        <f>CHOOSE($C$4,G21,G22,G23)</f>
        <v>-0.05</v>
      </c>
      <c r="H24" s="19">
        <f>CHOOSE($C$4,H21,H22,H23)</f>
        <v>-0.05</v>
      </c>
      <c r="I24" s="19">
        <f>CHOOSE($C$4,I21,I22,I23)</f>
        <v>-0.04</v>
      </c>
      <c r="J24" s="19">
        <f>CHOOSE($C$4,J21,J22,J23)</f>
        <v>-0.03</v>
      </c>
      <c r="K24" s="19">
        <f>CHOOSE($C$4,K21,K22,K23)</f>
        <v>-0.03</v>
      </c>
    </row>
    <row r="26" spans="1:12" x14ac:dyDescent="0.25">
      <c r="A26" s="3" t="s">
        <v>322</v>
      </c>
    </row>
    <row r="27" spans="1:12" x14ac:dyDescent="0.25">
      <c r="A27" s="10" t="s">
        <v>313</v>
      </c>
      <c r="G27" s="33">
        <v>1.25</v>
      </c>
      <c r="H27" s="33">
        <v>1.25</v>
      </c>
      <c r="I27" s="33">
        <v>1.25</v>
      </c>
      <c r="J27" s="33">
        <v>1.25</v>
      </c>
      <c r="K27" s="33">
        <v>1.25</v>
      </c>
    </row>
    <row r="28" spans="1:12" x14ac:dyDescent="0.25">
      <c r="A28" s="10" t="s">
        <v>314</v>
      </c>
      <c r="G28" s="33">
        <v>1</v>
      </c>
      <c r="H28" s="33">
        <v>1</v>
      </c>
      <c r="I28" s="33">
        <v>1</v>
      </c>
      <c r="J28" s="33">
        <v>1</v>
      </c>
      <c r="K28" s="33">
        <v>1</v>
      </c>
      <c r="L28" s="2" t="s">
        <v>323</v>
      </c>
    </row>
    <row r="29" spans="1:12" x14ac:dyDescent="0.25">
      <c r="A29" s="10" t="s">
        <v>316</v>
      </c>
      <c r="G29" s="33">
        <v>0.6</v>
      </c>
      <c r="H29" s="33">
        <v>0.6</v>
      </c>
      <c r="I29" s="33">
        <v>0.6</v>
      </c>
      <c r="J29" s="33">
        <v>0.6</v>
      </c>
      <c r="K29" s="33">
        <v>0.6</v>
      </c>
    </row>
    <row r="30" spans="1:12" x14ac:dyDescent="0.25">
      <c r="A30" s="3" t="s">
        <v>317</v>
      </c>
      <c r="G30" s="34">
        <f>CHOOSE($C$4,G27,G28,G29)</f>
        <v>1</v>
      </c>
      <c r="H30" s="34">
        <f>CHOOSE($C$4,H27,H28,H29)</f>
        <v>1</v>
      </c>
      <c r="I30" s="34">
        <f>CHOOSE($C$4,I27,I28,I29)</f>
        <v>1</v>
      </c>
      <c r="J30" s="34">
        <f>CHOOSE($C$4,J27,J28,J29)</f>
        <v>1</v>
      </c>
      <c r="K30" s="34">
        <f>CHOOSE($C$4,K27,K28,K29)</f>
        <v>1</v>
      </c>
    </row>
    <row r="32" spans="1:12" x14ac:dyDescent="0.25">
      <c r="A32" s="3" t="s">
        <v>324</v>
      </c>
    </row>
    <row r="33" spans="1:12" x14ac:dyDescent="0.25">
      <c r="A33" s="10" t="s">
        <v>313</v>
      </c>
      <c r="G33" s="32">
        <v>0.49199999999999999</v>
      </c>
      <c r="H33" s="32">
        <v>0.51</v>
      </c>
      <c r="I33" s="32">
        <v>0.52</v>
      </c>
      <c r="J33" s="32">
        <v>0.52500000000000002</v>
      </c>
      <c r="K33" s="32">
        <v>0.52500000000000002</v>
      </c>
    </row>
    <row r="34" spans="1:12" x14ac:dyDescent="0.25">
      <c r="A34" s="10" t="s">
        <v>314</v>
      </c>
      <c r="D34" s="26">
        <f>'Income Statement'!D15</f>
        <v>0.48037207326140724</v>
      </c>
      <c r="E34" s="26">
        <f>'Income Statement'!E15</f>
        <v>0.50175568014163474</v>
      </c>
      <c r="F34" s="26">
        <f>'Income Statement'!F15</f>
        <v>0.51277994012571215</v>
      </c>
      <c r="G34" s="32">
        <v>0.48799999999999999</v>
      </c>
      <c r="H34" s="32">
        <v>0.5</v>
      </c>
      <c r="I34" s="32">
        <v>0.505</v>
      </c>
      <c r="J34" s="32">
        <v>0.51</v>
      </c>
      <c r="K34" s="32">
        <v>0.51</v>
      </c>
      <c r="L34" s="2" t="s">
        <v>325</v>
      </c>
    </row>
    <row r="35" spans="1:12" x14ac:dyDescent="0.25">
      <c r="A35" s="10" t="s">
        <v>316</v>
      </c>
      <c r="G35" s="32">
        <v>0.48299999999999998</v>
      </c>
      <c r="H35" s="32">
        <v>0.48499999999999999</v>
      </c>
      <c r="I35" s="32">
        <v>0.48799999999999999</v>
      </c>
      <c r="J35" s="32">
        <v>0.49</v>
      </c>
      <c r="K35" s="32">
        <v>0.49</v>
      </c>
    </row>
    <row r="36" spans="1:12" x14ac:dyDescent="0.25">
      <c r="A36" s="3" t="s">
        <v>317</v>
      </c>
      <c r="G36" s="19">
        <f>CHOOSE($C$4,G33,G34,G35)</f>
        <v>0.48799999999999999</v>
      </c>
      <c r="H36" s="19">
        <f>CHOOSE($C$4,H33,H34,H35)</f>
        <v>0.5</v>
      </c>
      <c r="I36" s="19">
        <f>CHOOSE($C$4,I33,I34,I35)</f>
        <v>0.505</v>
      </c>
      <c r="J36" s="19">
        <f>CHOOSE($C$4,J33,J34,J35)</f>
        <v>0.51</v>
      </c>
      <c r="K36" s="19">
        <f>CHOOSE($C$4,K33,K34,K35)</f>
        <v>0.51</v>
      </c>
    </row>
    <row r="38" spans="1:12" x14ac:dyDescent="0.25">
      <c r="A38" s="3" t="s">
        <v>326</v>
      </c>
    </row>
    <row r="39" spans="1:12" x14ac:dyDescent="0.25">
      <c r="A39" s="10" t="s">
        <v>313</v>
      </c>
      <c r="G39" s="32">
        <v>0.21299999999999999</v>
      </c>
      <c r="H39" s="32">
        <v>0.21</v>
      </c>
      <c r="I39" s="32">
        <v>0.20499999999999999</v>
      </c>
      <c r="J39" s="32">
        <v>0.20300000000000001</v>
      </c>
      <c r="K39" s="32">
        <v>0.2</v>
      </c>
    </row>
    <row r="40" spans="1:12" x14ac:dyDescent="0.25">
      <c r="A40" s="10" t="s">
        <v>314</v>
      </c>
      <c r="D40" s="26">
        <f>'Income Statement'!D18</f>
        <v>0</v>
      </c>
      <c r="E40" s="26">
        <f>'Income Statement'!E18</f>
        <v>0.2586751254057244</v>
      </c>
      <c r="F40" s="26">
        <f>'Income Statement'!F18</f>
        <v>0.21818333618259669</v>
      </c>
      <c r="G40" s="32">
        <v>0.215</v>
      </c>
      <c r="H40" s="32">
        <v>0.215</v>
      </c>
      <c r="I40" s="32">
        <v>0.21</v>
      </c>
      <c r="J40" s="32">
        <v>0.21</v>
      </c>
      <c r="K40" s="32">
        <v>0.21</v>
      </c>
      <c r="L40" s="2" t="s">
        <v>327</v>
      </c>
    </row>
    <row r="41" spans="1:12" x14ac:dyDescent="0.25">
      <c r="A41" s="10" t="s">
        <v>316</v>
      </c>
      <c r="G41" s="32">
        <v>0.22</v>
      </c>
      <c r="H41" s="32">
        <v>0.22500000000000001</v>
      </c>
      <c r="I41" s="32">
        <v>0.22500000000000001</v>
      </c>
      <c r="J41" s="32">
        <v>0.22</v>
      </c>
      <c r="K41" s="32">
        <v>0.22</v>
      </c>
    </row>
    <row r="42" spans="1:12" x14ac:dyDescent="0.25">
      <c r="A42" s="3" t="s">
        <v>317</v>
      </c>
      <c r="G42" s="19">
        <f>CHOOSE($C$4,G39,G40,G41)</f>
        <v>0.215</v>
      </c>
      <c r="H42" s="19">
        <f>CHOOSE($C$4,H39,H40,H41)</f>
        <v>0.215</v>
      </c>
      <c r="I42" s="19">
        <f>CHOOSE($C$4,I39,I40,I41)</f>
        <v>0.21</v>
      </c>
      <c r="J42" s="19">
        <f>CHOOSE($C$4,J39,J40,J41)</f>
        <v>0.21</v>
      </c>
      <c r="K42" s="19">
        <f>CHOOSE($C$4,K39,K40,K41)</f>
        <v>0.21</v>
      </c>
    </row>
    <row r="44" spans="1:12" x14ac:dyDescent="0.25">
      <c r="A44" s="3" t="s">
        <v>328</v>
      </c>
    </row>
    <row r="45" spans="1:12" x14ac:dyDescent="0.25">
      <c r="A45" s="10" t="s">
        <v>313</v>
      </c>
      <c r="G45" s="32">
        <v>6.7000000000000004E-2</v>
      </c>
      <c r="H45" s="32">
        <v>6.4000000000000001E-2</v>
      </c>
      <c r="I45" s="32">
        <v>6.0999999999999999E-2</v>
      </c>
      <c r="J45" s="32">
        <v>5.8999999999999997E-2</v>
      </c>
      <c r="K45" s="32">
        <v>5.7000000000000002E-2</v>
      </c>
    </row>
    <row r="46" spans="1:12" x14ac:dyDescent="0.25">
      <c r="A46" s="10" t="s">
        <v>314</v>
      </c>
      <c r="D46" s="26">
        <f>'Income Statement'!D20</f>
        <v>0</v>
      </c>
      <c r="E46" s="26">
        <f>'Income Statement'!E20</f>
        <v>8.0008852168781341E-2</v>
      </c>
      <c r="F46" s="26">
        <f>'Income Statement'!F20</f>
        <v>7.5451144409944063E-2</v>
      </c>
      <c r="G46" s="32">
        <v>6.8000000000000005E-2</v>
      </c>
      <c r="H46" s="32">
        <v>6.6000000000000003E-2</v>
      </c>
      <c r="I46" s="32">
        <v>6.4000000000000001E-2</v>
      </c>
      <c r="J46" s="32">
        <v>6.2E-2</v>
      </c>
      <c r="K46" s="32">
        <v>0.06</v>
      </c>
      <c r="L46" s="2" t="s">
        <v>329</v>
      </c>
    </row>
    <row r="47" spans="1:12" x14ac:dyDescent="0.25">
      <c r="A47" s="10" t="s">
        <v>316</v>
      </c>
      <c r="G47" s="32">
        <v>7.0000000000000007E-2</v>
      </c>
      <c r="H47" s="32">
        <v>6.9000000000000006E-2</v>
      </c>
      <c r="I47" s="32">
        <v>6.8000000000000005E-2</v>
      </c>
      <c r="J47" s="32">
        <v>6.7000000000000004E-2</v>
      </c>
      <c r="K47" s="32">
        <v>6.6000000000000003E-2</v>
      </c>
    </row>
    <row r="48" spans="1:12" x14ac:dyDescent="0.25">
      <c r="A48" s="3" t="s">
        <v>317</v>
      </c>
      <c r="G48" s="19">
        <f>CHOOSE($C$4,G45,G46,G47)</f>
        <v>6.8000000000000005E-2</v>
      </c>
      <c r="H48" s="19">
        <f>CHOOSE($C$4,H45,H46,H47)</f>
        <v>6.6000000000000003E-2</v>
      </c>
      <c r="I48" s="19">
        <f>CHOOSE($C$4,I45,I46,I47)</f>
        <v>6.4000000000000001E-2</v>
      </c>
      <c r="J48" s="19">
        <f>CHOOSE($C$4,J45,J46,J47)</f>
        <v>6.2E-2</v>
      </c>
      <c r="K48" s="19">
        <f>CHOOSE($C$4,K45,K46,K47)</f>
        <v>0.06</v>
      </c>
    </row>
    <row r="49" spans="1:5" x14ac:dyDescent="0.25">
      <c r="A49" s="2" t="s">
        <v>330</v>
      </c>
    </row>
    <row r="51" spans="1:5" x14ac:dyDescent="0.25">
      <c r="A51" s="8" t="s">
        <v>331</v>
      </c>
      <c r="B51" s="9"/>
      <c r="C51" s="9"/>
      <c r="D51" s="9"/>
      <c r="E51" s="9"/>
    </row>
    <row r="52" spans="1:5" x14ac:dyDescent="0.25">
      <c r="A52" s="35" t="s">
        <v>332</v>
      </c>
      <c r="B52" s="35" t="s">
        <v>333</v>
      </c>
      <c r="C52" s="35" t="s">
        <v>334</v>
      </c>
      <c r="D52" s="35" t="s">
        <v>335</v>
      </c>
      <c r="E52" s="35" t="s">
        <v>336</v>
      </c>
    </row>
    <row r="53" spans="1:5" x14ac:dyDescent="0.25">
      <c r="A53" s="10" t="s">
        <v>337</v>
      </c>
      <c r="B53" s="14">
        <f>G9</f>
        <v>0.02</v>
      </c>
      <c r="C53" s="14">
        <f>G10</f>
        <v>-0.03</v>
      </c>
      <c r="D53" s="14">
        <f>G11</f>
        <v>-0.08</v>
      </c>
      <c r="E53" s="14">
        <f>G12</f>
        <v>-0.03</v>
      </c>
    </row>
    <row r="54" spans="1:5" x14ac:dyDescent="0.25">
      <c r="A54" s="10" t="s">
        <v>338</v>
      </c>
      <c r="B54" s="14">
        <f>AVERAGE(H9:K9)</f>
        <v>0.06</v>
      </c>
      <c r="C54" s="14">
        <f>AVERAGE(H10:K10)</f>
        <v>3.3750000000000002E-2</v>
      </c>
      <c r="D54" s="14">
        <f>AVERAGE(H11:K11)</f>
        <v>-4.9999999999999992E-3</v>
      </c>
      <c r="E54" s="14">
        <f>AVERAGE(H12:K12)</f>
        <v>3.3750000000000002E-2</v>
      </c>
    </row>
    <row r="55" spans="1:5" x14ac:dyDescent="0.25">
      <c r="A55" s="10" t="s">
        <v>339</v>
      </c>
      <c r="B55" s="14">
        <f>G15</f>
        <v>0.1</v>
      </c>
      <c r="C55" s="14">
        <f>G16</f>
        <v>0.05</v>
      </c>
      <c r="D55" s="14">
        <f>G17</f>
        <v>0</v>
      </c>
      <c r="E55" s="14">
        <f>G18</f>
        <v>0.05</v>
      </c>
    </row>
    <row r="56" spans="1:5" x14ac:dyDescent="0.25">
      <c r="A56" s="10" t="s">
        <v>340</v>
      </c>
      <c r="B56" s="14">
        <f>AVERAGE(H15:K15)</f>
        <v>0.13</v>
      </c>
      <c r="C56" s="14">
        <f>AVERAGE(H16:K16)</f>
        <v>9.2499999999999999E-2</v>
      </c>
      <c r="D56" s="14">
        <f>AVERAGE(H17:K17)</f>
        <v>4.4999999999999998E-2</v>
      </c>
      <c r="E56" s="14">
        <f>AVERAGE(H18:K18)</f>
        <v>9.2499999999999999E-2</v>
      </c>
    </row>
    <row r="57" spans="1:5" x14ac:dyDescent="0.25">
      <c r="A57" s="10" t="s">
        <v>341</v>
      </c>
      <c r="B57" s="14">
        <f>AVERAGE(H21:K21)</f>
        <v>-2.5000000000000001E-3</v>
      </c>
      <c r="C57" s="14">
        <f>AVERAGE(H22:K22)</f>
        <v>-3.7499999999999999E-2</v>
      </c>
      <c r="D57" s="14">
        <f>AVERAGE(H23:K23)</f>
        <v>-6.7500000000000004E-2</v>
      </c>
      <c r="E57" s="14">
        <f>AVERAGE(H24:K24)</f>
        <v>-3.7499999999999999E-2</v>
      </c>
    </row>
    <row r="58" spans="1:5" x14ac:dyDescent="0.25">
      <c r="A58" s="10" t="s">
        <v>342</v>
      </c>
      <c r="B58" s="36">
        <f>G27</f>
        <v>1.25</v>
      </c>
      <c r="C58" s="36">
        <f>G28</f>
        <v>1</v>
      </c>
      <c r="D58" s="36">
        <f>G29</f>
        <v>0.6</v>
      </c>
      <c r="E58" s="36">
        <f>G30</f>
        <v>1</v>
      </c>
    </row>
    <row r="59" spans="1:5" x14ac:dyDescent="0.25">
      <c r="A59" s="10" t="s">
        <v>343</v>
      </c>
      <c r="B59" s="14">
        <f>K33</f>
        <v>0.52500000000000002</v>
      </c>
      <c r="C59" s="14">
        <f>K34</f>
        <v>0.51</v>
      </c>
      <c r="D59" s="14">
        <f>K35</f>
        <v>0.49</v>
      </c>
      <c r="E59" s="14">
        <f>K36</f>
        <v>0.51</v>
      </c>
    </row>
    <row r="60" spans="1:5" x14ac:dyDescent="0.25">
      <c r="A60" s="10" t="s">
        <v>344</v>
      </c>
      <c r="B60" s="14">
        <f>K39</f>
        <v>0.2</v>
      </c>
      <c r="C60" s="14">
        <f>K40</f>
        <v>0.21</v>
      </c>
      <c r="D60" s="14">
        <f>K41</f>
        <v>0.22</v>
      </c>
      <c r="E60" s="14">
        <f>K42</f>
        <v>0.21</v>
      </c>
    </row>
    <row r="61" spans="1:5" x14ac:dyDescent="0.25">
      <c r="A61" s="10" t="s">
        <v>345</v>
      </c>
      <c r="B61" s="14">
        <f>K45</f>
        <v>5.7000000000000002E-2</v>
      </c>
      <c r="C61" s="14">
        <f>K46</f>
        <v>0.06</v>
      </c>
      <c r="D61" s="14">
        <f>K47</f>
        <v>6.6000000000000003E-2</v>
      </c>
      <c r="E61" s="14">
        <f>K48</f>
        <v>0.06</v>
      </c>
    </row>
    <row r="62" spans="1:5" x14ac:dyDescent="0.25">
      <c r="A62" s="2" t="s">
        <v>346</v>
      </c>
    </row>
    <row r="64" spans="1:5" x14ac:dyDescent="0.25">
      <c r="A64" s="8" t="s">
        <v>347</v>
      </c>
      <c r="B64" s="9"/>
      <c r="C64" s="9"/>
      <c r="D64" s="9"/>
      <c r="E64" s="9"/>
    </row>
    <row r="65" spans="1:5" x14ac:dyDescent="0.25">
      <c r="A65" s="35" t="s">
        <v>348</v>
      </c>
      <c r="B65" s="35" t="s">
        <v>333</v>
      </c>
      <c r="C65" s="35" t="s">
        <v>334</v>
      </c>
      <c r="D65" s="35" t="s">
        <v>335</v>
      </c>
      <c r="E65" s="35" t="s">
        <v>349</v>
      </c>
    </row>
    <row r="66" spans="1:5" x14ac:dyDescent="0.25">
      <c r="A66" s="10" t="s">
        <v>350</v>
      </c>
      <c r="B66" s="11">
        <v>3221.5140000000001</v>
      </c>
      <c r="C66" s="11">
        <v>3141.81</v>
      </c>
      <c r="D66" s="11">
        <v>3058.6536000000001</v>
      </c>
      <c r="E66" s="20">
        <f>'Income Statement'!G7</f>
        <v>3141.8100000000004</v>
      </c>
    </row>
    <row r="67" spans="1:5" x14ac:dyDescent="0.25">
      <c r="A67" s="10" t="s">
        <v>351</v>
      </c>
      <c r="B67" s="11">
        <v>3600.4076209999998</v>
      </c>
      <c r="C67" s="11">
        <v>3354.54655</v>
      </c>
      <c r="D67" s="11">
        <v>3086.6130990000001</v>
      </c>
      <c r="E67" s="20">
        <f>'Income Statement'!H7</f>
        <v>3354.5465500000005</v>
      </c>
    </row>
    <row r="68" spans="1:5" x14ac:dyDescent="0.25">
      <c r="A68" s="10" t="s">
        <v>352</v>
      </c>
      <c r="B68" s="11">
        <v>4659.037961</v>
      </c>
      <c r="C68" s="11">
        <v>4015.5375100000001</v>
      </c>
      <c r="D68" s="11">
        <v>3297.2094149999998</v>
      </c>
      <c r="E68" s="20">
        <f>'Income Statement'!K7</f>
        <v>4015.5375101990408</v>
      </c>
    </row>
    <row r="69" spans="1:5" x14ac:dyDescent="0.25">
      <c r="A69" s="10" t="s">
        <v>353</v>
      </c>
      <c r="B69" s="16">
        <v>0.13120799999999999</v>
      </c>
      <c r="C69" s="16">
        <v>9.8074999999999996E-2</v>
      </c>
      <c r="D69" s="16">
        <v>5.5632000000000001E-2</v>
      </c>
      <c r="E69" s="37">
        <f>('Income Statement'!K7/'Income Statement'!F7)^(1/5)-1</f>
        <v>9.8074522660948071E-2</v>
      </c>
    </row>
    <row r="70" spans="1:5" x14ac:dyDescent="0.25">
      <c r="A70" s="10" t="s">
        <v>354</v>
      </c>
      <c r="B70" s="16">
        <v>0.52500000000000002</v>
      </c>
      <c r="C70" s="16">
        <v>0.51</v>
      </c>
      <c r="D70" s="16">
        <v>0.49</v>
      </c>
      <c r="E70" s="37">
        <f>'Income Statement'!K14</f>
        <v>0.51</v>
      </c>
    </row>
    <row r="71" spans="1:5" x14ac:dyDescent="0.25">
      <c r="A71" s="10" t="s">
        <v>355</v>
      </c>
      <c r="B71" s="11">
        <v>1351.8895620000001</v>
      </c>
      <c r="C71" s="11">
        <v>1057.1406939999999</v>
      </c>
      <c r="D71" s="11">
        <v>755.12035500000002</v>
      </c>
      <c r="E71" s="20">
        <f>'Income Statement'!K35</f>
        <v>1057.1406942925987</v>
      </c>
    </row>
    <row r="72" spans="1:5" x14ac:dyDescent="0.25">
      <c r="A72" s="10" t="s">
        <v>356</v>
      </c>
      <c r="B72" s="16">
        <v>0.29016500000000001</v>
      </c>
      <c r="C72" s="16">
        <v>0.26326300000000002</v>
      </c>
      <c r="D72" s="16">
        <v>0.229018</v>
      </c>
      <c r="E72" s="37">
        <f>'Income Statement'!K36</f>
        <v>0.26326256238612467</v>
      </c>
    </row>
    <row r="73" spans="1:5" x14ac:dyDescent="0.25">
      <c r="A73" s="10" t="s">
        <v>357</v>
      </c>
      <c r="B73" s="11">
        <v>1248.622173</v>
      </c>
      <c r="C73" s="11">
        <v>963.72900200000004</v>
      </c>
      <c r="D73" s="11">
        <v>672.63072099999999</v>
      </c>
      <c r="E73" s="20">
        <f>'Income Statement'!K27</f>
        <v>963.72900244776974</v>
      </c>
    </row>
    <row r="74" spans="1:5" x14ac:dyDescent="0.25">
      <c r="A74" s="10" t="s">
        <v>358</v>
      </c>
      <c r="B74" s="11">
        <v>985.60180400000002</v>
      </c>
      <c r="C74" s="11">
        <v>758.485501</v>
      </c>
      <c r="D74" s="11">
        <v>525.29996500000004</v>
      </c>
      <c r="E74" s="20">
        <f>'Income Statement'!K46</f>
        <v>758.48550115450746</v>
      </c>
    </row>
    <row r="75" spans="1:5" x14ac:dyDescent="0.25">
      <c r="A75" s="10" t="s">
        <v>359</v>
      </c>
      <c r="B75" s="38">
        <v>1.572438</v>
      </c>
      <c r="C75" s="38">
        <v>1.4691940000000001</v>
      </c>
      <c r="D75" s="38">
        <v>1.326497</v>
      </c>
      <c r="E75" s="25">
        <f>'Income Statement'!G58</f>
        <v>1.4691938730443583</v>
      </c>
    </row>
    <row r="76" spans="1:5" x14ac:dyDescent="0.25">
      <c r="A76" s="10" t="s">
        <v>360</v>
      </c>
      <c r="B76" s="38">
        <v>2.0481159999999998</v>
      </c>
      <c r="C76" s="38">
        <v>1.735474</v>
      </c>
      <c r="D76" s="38">
        <v>1.3408040000000001</v>
      </c>
      <c r="E76" s="25">
        <f>'Income Statement'!H58</f>
        <v>1.7354735537048434</v>
      </c>
    </row>
    <row r="77" spans="1:5" x14ac:dyDescent="0.25">
      <c r="A77" s="10" t="s">
        <v>361</v>
      </c>
      <c r="B77" s="38">
        <v>3.4675400000000001</v>
      </c>
      <c r="C77" s="38">
        <v>2.6196809999999999</v>
      </c>
      <c r="D77" s="38">
        <v>1.749166</v>
      </c>
      <c r="E77" s="25">
        <f>'Income Statement'!K56</f>
        <v>2.6196814644587256</v>
      </c>
    </row>
    <row r="78" spans="1:5" x14ac:dyDescent="0.25">
      <c r="A78" s="10" t="s">
        <v>362</v>
      </c>
      <c r="B78" s="11">
        <v>1013.286067</v>
      </c>
      <c r="C78" s="11">
        <v>795.68786299999999</v>
      </c>
      <c r="D78" s="11">
        <v>575.171513</v>
      </c>
      <c r="E78" s="20">
        <f>'Cash Flow'!K42</f>
        <v>795.68786278639266</v>
      </c>
    </row>
    <row r="79" spans="1:5" x14ac:dyDescent="0.25">
      <c r="A79" s="10" t="s">
        <v>363</v>
      </c>
      <c r="B79" s="16">
        <v>0.21748799999999999</v>
      </c>
      <c r="C79" s="16">
        <v>0.19815199999999999</v>
      </c>
      <c r="D79" s="16">
        <v>0.17444200000000001</v>
      </c>
      <c r="E79" s="37">
        <f>'Cash Flow'!K43</f>
        <v>0.19815226747737497</v>
      </c>
    </row>
    <row r="80" spans="1:5" x14ac:dyDescent="0.25">
      <c r="A80" s="10" t="s">
        <v>364</v>
      </c>
      <c r="B80" s="11">
        <v>935.5444</v>
      </c>
      <c r="C80" s="11">
        <v>733.095012</v>
      </c>
      <c r="D80" s="11">
        <v>529.87929399999996</v>
      </c>
      <c r="E80" s="20">
        <f>'DCF Inputs'!K21</f>
        <v>733.09501214937904</v>
      </c>
    </row>
    <row r="81" spans="1:5" x14ac:dyDescent="0.25">
      <c r="A81" s="10" t="s">
        <v>365</v>
      </c>
      <c r="B81" s="11">
        <v>3694.5402800000002</v>
      </c>
      <c r="C81" s="11">
        <v>3110.679118</v>
      </c>
      <c r="D81" s="11">
        <v>2462.0826950000001</v>
      </c>
      <c r="E81" s="20">
        <f>SUM('DCF Inputs'!G21:K21)</f>
        <v>3110.6791180813943</v>
      </c>
    </row>
    <row r="82" spans="1:5" x14ac:dyDescent="0.25">
      <c r="A82" s="10" t="s">
        <v>366</v>
      </c>
      <c r="B82" s="11">
        <v>2425.5538539999998</v>
      </c>
      <c r="C82" s="11">
        <v>1805.4329809999999</v>
      </c>
      <c r="D82" s="11">
        <v>1115.313582</v>
      </c>
      <c r="E82" s="20">
        <f>'Cash Flow'!K38</f>
        <v>1805.4329806941719</v>
      </c>
    </row>
    <row r="83" spans="1:5" x14ac:dyDescent="0.25">
      <c r="A83" s="2" t="s">
        <v>367</v>
      </c>
    </row>
    <row r="85" spans="1:5" x14ac:dyDescent="0.25">
      <c r="A85" s="39" t="s">
        <v>368</v>
      </c>
    </row>
    <row r="86" spans="1:5" x14ac:dyDescent="0.25">
      <c r="A86" s="10" t="s">
        <v>369</v>
      </c>
    </row>
    <row r="87" spans="1:5" x14ac:dyDescent="0.25">
      <c r="A87" s="10" t="s">
        <v>370</v>
      </c>
    </row>
    <row r="88" spans="1:5" x14ac:dyDescent="0.25">
      <c r="A88" s="10" t="s">
        <v>371</v>
      </c>
    </row>
  </sheetData>
  <dataValidations count="1">
    <dataValidation type="whole" showErrorMessage="1" errorTitle="Scenario" error="Enter 1 (Bull), 2 (Base) or 3 (Bear)" sqref="C4" xr:uid="{00000000-0002-0000-0400-000000000000}">
      <formula1>1</formula1>
      <formula2>3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48235"/>
  </sheetPr>
  <dimension ref="A1:L6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8.7109375" defaultRowHeight="15" x14ac:dyDescent="0.25"/>
  <cols>
    <col min="1" max="1" width="52" customWidth="1"/>
    <col min="2" max="11" width="11" customWidth="1"/>
    <col min="12" max="12" width="90" customWidth="1"/>
  </cols>
  <sheetData>
    <row r="1" spans="1:12" ht="18" x14ac:dyDescent="0.25">
      <c r="A1" s="1" t="s">
        <v>731</v>
      </c>
    </row>
    <row r="2" spans="1:12" x14ac:dyDescent="0.25">
      <c r="A2" s="2" t="s">
        <v>1</v>
      </c>
    </row>
    <row r="3" spans="1:12" x14ac:dyDescent="0.25">
      <c r="A3" s="3" t="s">
        <v>2</v>
      </c>
      <c r="B3" s="4" t="str">
        <f>CHOOSE(Scenarios!$C$4,"Bull case","Base case","Bear case")</f>
        <v>Base case</v>
      </c>
    </row>
    <row r="5" spans="1:12" x14ac:dyDescent="0.2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6" t="s">
        <v>14</v>
      </c>
    </row>
    <row r="6" spans="1:12" x14ac:dyDescent="0.25">
      <c r="A6" s="8" t="s">
        <v>372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x14ac:dyDescent="0.25">
      <c r="A7" s="10" t="s">
        <v>83</v>
      </c>
      <c r="F7" s="13">
        <f>'Income Statement'!F7</f>
        <v>2515.27</v>
      </c>
      <c r="G7" s="13">
        <f>'Income Statement'!G7</f>
        <v>3141.8100000000004</v>
      </c>
      <c r="H7" s="13">
        <f>'Income Statement'!H7</f>
        <v>3354.5465500000005</v>
      </c>
      <c r="I7" s="13">
        <f>'Income Statement'!I7</f>
        <v>3587.6166080000003</v>
      </c>
      <c r="J7" s="13">
        <f>'Income Statement'!J7</f>
        <v>3807.9358512960007</v>
      </c>
      <c r="K7" s="13">
        <f>'Income Statement'!K7</f>
        <v>4015.5375101990408</v>
      </c>
    </row>
    <row r="8" spans="1:12" x14ac:dyDescent="0.25">
      <c r="A8" s="10" t="s">
        <v>37</v>
      </c>
      <c r="F8" s="26">
        <f>'Income Statement'!F8</f>
        <v>0</v>
      </c>
      <c r="G8" s="26">
        <f>'Income Statement'!G8</f>
        <v>0.24909453060705222</v>
      </c>
      <c r="H8" s="26">
        <f>'Income Statement'!H8</f>
        <v>6.7711462500915198E-2</v>
      </c>
      <c r="I8" s="26">
        <f>'Income Statement'!I8</f>
        <v>6.9478856389695975E-2</v>
      </c>
      <c r="J8" s="26">
        <f>'Income Statement'!J8</f>
        <v>6.1411033387656966E-2</v>
      </c>
      <c r="K8" s="26">
        <f>'Income Statement'!K8</f>
        <v>5.4518160759558176E-2</v>
      </c>
    </row>
    <row r="9" spans="1:12" x14ac:dyDescent="0.25">
      <c r="A9" s="10" t="s">
        <v>373</v>
      </c>
      <c r="F9" s="13">
        <f>'Income Statement'!F35</f>
        <v>608.69999999999993</v>
      </c>
      <c r="G9" s="13">
        <f>'Income Statement'!G35</f>
        <v>718.46746500000006</v>
      </c>
      <c r="H9" s="13">
        <f>'Income Statement'!H35</f>
        <v>816.77842777500007</v>
      </c>
      <c r="I9" s="13">
        <f>'Income Statement'!I35</f>
        <v>918.50651548000008</v>
      </c>
      <c r="J9" s="13">
        <f>'Income Statement'!J35</f>
        <v>1002.7362260538723</v>
      </c>
      <c r="K9" s="13">
        <f>'Income Statement'!K35</f>
        <v>1057.1406942925987</v>
      </c>
    </row>
    <row r="10" spans="1:12" x14ac:dyDescent="0.25">
      <c r="A10" s="10" t="s">
        <v>374</v>
      </c>
      <c r="F10" s="14">
        <f t="shared" ref="F10:K10" si="0">F9/F7</f>
        <v>0.24200185268380728</v>
      </c>
      <c r="G10" s="14">
        <f t="shared" si="0"/>
        <v>0.22867947616183026</v>
      </c>
      <c r="H10" s="14">
        <f t="shared" si="0"/>
        <v>0.24348400464885483</v>
      </c>
      <c r="I10" s="14">
        <f t="shared" si="0"/>
        <v>0.25602136901469041</v>
      </c>
      <c r="J10" s="14">
        <f t="shared" si="0"/>
        <v>0.26332802473880934</v>
      </c>
      <c r="K10" s="14">
        <f t="shared" si="0"/>
        <v>0.26326256238612467</v>
      </c>
    </row>
    <row r="11" spans="1:12" x14ac:dyDescent="0.25">
      <c r="A11" s="10" t="s">
        <v>375</v>
      </c>
      <c r="F11" s="13">
        <f>'Income Statement'!F30</f>
        <v>170.50999999999993</v>
      </c>
      <c r="G11" s="13">
        <f>'Income Statement'!G30</f>
        <v>560.48665000000005</v>
      </c>
      <c r="H11" s="13">
        <f>'Income Statement'!H30</f>
        <v>778.20114245000002</v>
      </c>
      <c r="I11" s="13">
        <f>'Income Statement'!I30</f>
        <v>877.24892448800006</v>
      </c>
      <c r="J11" s="13">
        <f>'Income Statement'!J30</f>
        <v>958.9449637639683</v>
      </c>
      <c r="K11" s="13">
        <f>'Income Statement'!K30</f>
        <v>1010.9620129253096</v>
      </c>
    </row>
    <row r="12" spans="1:12" x14ac:dyDescent="0.25">
      <c r="A12" s="3" t="s">
        <v>376</v>
      </c>
      <c r="F12" s="20">
        <f>'Income Statement'!F27</f>
        <v>141.05999999999995</v>
      </c>
      <c r="G12" s="20">
        <f>'Income Statement'!G27</f>
        <v>522.2210500000001</v>
      </c>
      <c r="H12" s="20">
        <f>'Income Statement'!H27</f>
        <v>734.64569445000006</v>
      </c>
      <c r="I12" s="20">
        <f>'Income Statement'!I27</f>
        <v>828.73943644800011</v>
      </c>
      <c r="J12" s="20">
        <f>'Income Statement'!J27</f>
        <v>906.2887326084483</v>
      </c>
      <c r="K12" s="20">
        <f>'Income Statement'!K27</f>
        <v>963.72900244776974</v>
      </c>
    </row>
    <row r="13" spans="1:12" x14ac:dyDescent="0.25">
      <c r="A13" s="10" t="s">
        <v>377</v>
      </c>
      <c r="F13" s="13">
        <f>'Income Statement'!F34</f>
        <v>410.14</v>
      </c>
      <c r="G13" s="13">
        <f>'Income Statement'!G34</f>
        <v>121.85000000000001</v>
      </c>
      <c r="H13" s="13">
        <f>'Income Statement'!H34</f>
        <v>0</v>
      </c>
      <c r="I13" s="13">
        <f>'Income Statement'!I34</f>
        <v>0</v>
      </c>
      <c r="J13" s="13">
        <f>'Income Statement'!J34</f>
        <v>0</v>
      </c>
      <c r="K13" s="13">
        <f>'Income Statement'!K34</f>
        <v>0</v>
      </c>
    </row>
    <row r="14" spans="1:12" x14ac:dyDescent="0.25">
      <c r="A14" s="10" t="s">
        <v>378</v>
      </c>
      <c r="F14" s="16">
        <v>0.23</v>
      </c>
      <c r="G14" s="26">
        <f>'Income Statement'!G45</f>
        <v>0.23</v>
      </c>
      <c r="H14" s="26">
        <f>'Income Statement'!H45</f>
        <v>0.23</v>
      </c>
      <c r="I14" s="26">
        <f>'Income Statement'!I45</f>
        <v>0.23</v>
      </c>
      <c r="J14" s="26">
        <f>'Income Statement'!J45</f>
        <v>0.23</v>
      </c>
      <c r="K14" s="26">
        <f>'Income Statement'!K45</f>
        <v>0.23</v>
      </c>
      <c r="L14" s="2" t="s">
        <v>379</v>
      </c>
    </row>
    <row r="15" spans="1:12" x14ac:dyDescent="0.25">
      <c r="A15" s="10" t="s">
        <v>380</v>
      </c>
      <c r="F15" s="12">
        <f t="shared" ref="F15:K15" si="1">-F12*F14</f>
        <v>-32.443799999999989</v>
      </c>
      <c r="G15" s="12">
        <f t="shared" si="1"/>
        <v>-120.11084150000003</v>
      </c>
      <c r="H15" s="12">
        <f t="shared" si="1"/>
        <v>-168.96850972350003</v>
      </c>
      <c r="I15" s="12">
        <f t="shared" si="1"/>
        <v>-190.61007038304004</v>
      </c>
      <c r="J15" s="12">
        <f t="shared" si="1"/>
        <v>-208.44640849994312</v>
      </c>
      <c r="K15" s="12">
        <f t="shared" si="1"/>
        <v>-221.65767056298705</v>
      </c>
    </row>
    <row r="16" spans="1:12" x14ac:dyDescent="0.25">
      <c r="A16" s="3" t="s">
        <v>381</v>
      </c>
      <c r="F16" s="15">
        <f t="shared" ref="F16:K16" si="2">F12+F15</f>
        <v>108.61619999999996</v>
      </c>
      <c r="G16" s="15">
        <f t="shared" si="2"/>
        <v>402.11020850000006</v>
      </c>
      <c r="H16" s="15">
        <f t="shared" si="2"/>
        <v>565.67718472650006</v>
      </c>
      <c r="I16" s="15">
        <f t="shared" si="2"/>
        <v>638.1293660649601</v>
      </c>
      <c r="J16" s="15">
        <f t="shared" si="2"/>
        <v>697.84232410850518</v>
      </c>
      <c r="K16" s="15">
        <f t="shared" si="2"/>
        <v>742.07133188478269</v>
      </c>
    </row>
    <row r="17" spans="1:12" x14ac:dyDescent="0.25">
      <c r="A17" s="10" t="s">
        <v>382</v>
      </c>
      <c r="F17" s="13">
        <f>'Income Statement'!F29</f>
        <v>29.45</v>
      </c>
      <c r="G17" s="13">
        <f>'Income Statement'!G29</f>
        <v>38.265599999999999</v>
      </c>
      <c r="H17" s="13">
        <f>'Income Statement'!H29</f>
        <v>43.555447999999998</v>
      </c>
      <c r="I17" s="13">
        <f>'Income Statement'!I29</f>
        <v>48.509488040000001</v>
      </c>
      <c r="J17" s="13">
        <f>'Income Statement'!J29</f>
        <v>52.656231155520004</v>
      </c>
      <c r="K17" s="13">
        <f>'Income Statement'!K29</f>
        <v>47.233010477539835</v>
      </c>
    </row>
    <row r="18" spans="1:12" x14ac:dyDescent="0.25">
      <c r="A18" s="10" t="s">
        <v>383</v>
      </c>
      <c r="F18" s="13">
        <f>'Cash Flow'!F10</f>
        <v>26.33</v>
      </c>
      <c r="G18" s="13">
        <f>'Cash Flow'!G10</f>
        <v>49.5</v>
      </c>
      <c r="H18" s="13">
        <f>'Cash Flow'!H10</f>
        <v>49.5</v>
      </c>
      <c r="I18" s="13">
        <f>'Cash Flow'!I10</f>
        <v>49.5</v>
      </c>
      <c r="J18" s="13">
        <f>'Cash Flow'!J10</f>
        <v>49.5</v>
      </c>
      <c r="K18" s="13">
        <f>'Cash Flow'!K10</f>
        <v>49.5</v>
      </c>
      <c r="L18" s="2" t="s">
        <v>384</v>
      </c>
    </row>
    <row r="19" spans="1:12" x14ac:dyDescent="0.25">
      <c r="A19" s="10" t="s">
        <v>385</v>
      </c>
      <c r="F19" s="13">
        <f>'Cash Flow'!F23</f>
        <v>-36.07</v>
      </c>
      <c r="G19" s="13">
        <f>'Cash Flow'!G23</f>
        <v>-47.127150000000007</v>
      </c>
      <c r="H19" s="13">
        <f>'Cash Flow'!H23</f>
        <v>-50.318198250000002</v>
      </c>
      <c r="I19" s="13">
        <f>'Cash Flow'!I23</f>
        <v>-50.226632512000002</v>
      </c>
      <c r="J19" s="13">
        <f>'Cash Flow'!J23</f>
        <v>-53.311101918144011</v>
      </c>
      <c r="K19" s="13">
        <f>'Cash Flow'!K23</f>
        <v>-56.21752514278657</v>
      </c>
    </row>
    <row r="20" spans="1:12" x14ac:dyDescent="0.25">
      <c r="A20" s="10" t="s">
        <v>386</v>
      </c>
      <c r="F20" s="13">
        <f>'Cash Flow'!F20</f>
        <v>167.04000000000002</v>
      </c>
      <c r="G20" s="13">
        <f>'Cash Flow'!G20</f>
        <v>17.132423397260311</v>
      </c>
      <c r="H20" s="13">
        <f>'Cash Flow'!H20</f>
        <v>-24.234582184931369</v>
      </c>
      <c r="I20" s="13">
        <f>'Cash Flow'!I20</f>
        <v>-50.258165353917789</v>
      </c>
      <c r="J20" s="13">
        <f>'Cash Flow'!J20</f>
        <v>-48.818337841736835</v>
      </c>
      <c r="K20" s="13">
        <f>'Cash Flow'!K20</f>
        <v>-49.4918050701569</v>
      </c>
      <c r="L20" s="2" t="s">
        <v>387</v>
      </c>
    </row>
    <row r="21" spans="1:12" x14ac:dyDescent="0.25">
      <c r="A21" s="17" t="s">
        <v>388</v>
      </c>
      <c r="B21" s="40"/>
      <c r="C21" s="40"/>
      <c r="D21" s="40"/>
      <c r="E21" s="40"/>
      <c r="F21" s="18">
        <f t="shared" ref="F21:K21" si="3">F16+F17+F18+F19+F20</f>
        <v>295.36619999999999</v>
      </c>
      <c r="G21" s="18">
        <f t="shared" si="3"/>
        <v>459.88108189726034</v>
      </c>
      <c r="H21" s="18">
        <f t="shared" si="3"/>
        <v>584.17985229156864</v>
      </c>
      <c r="I21" s="18">
        <f t="shared" si="3"/>
        <v>635.65405623904223</v>
      </c>
      <c r="J21" s="18">
        <f t="shared" si="3"/>
        <v>697.86911550414436</v>
      </c>
      <c r="K21" s="18">
        <f t="shared" si="3"/>
        <v>733.09501214937904</v>
      </c>
    </row>
    <row r="22" spans="1:12" x14ac:dyDescent="0.25">
      <c r="A22" s="10" t="s">
        <v>389</v>
      </c>
      <c r="F22" s="14">
        <f t="shared" ref="F22:K22" si="4">F21/F7</f>
        <v>0.11742922231012973</v>
      </c>
      <c r="G22" s="14">
        <f t="shared" si="4"/>
        <v>0.14637456813023711</v>
      </c>
      <c r="H22" s="14">
        <f t="shared" si="4"/>
        <v>0.17414569855695355</v>
      </c>
      <c r="I22" s="14">
        <f t="shared" si="4"/>
        <v>0.17718004059341286</v>
      </c>
      <c r="J22" s="14">
        <f t="shared" si="4"/>
        <v>0.18326703567409891</v>
      </c>
      <c r="K22" s="14">
        <f t="shared" si="4"/>
        <v>0.1825646031913275</v>
      </c>
    </row>
    <row r="23" spans="1:12" x14ac:dyDescent="0.25">
      <c r="A23" s="10" t="s">
        <v>390</v>
      </c>
      <c r="F23" s="12">
        <f t="shared" ref="F23:K23" si="5">F21+F13*(1-F14)</f>
        <v>611.17399999999998</v>
      </c>
      <c r="G23" s="12">
        <f t="shared" si="5"/>
        <v>553.70558189726034</v>
      </c>
      <c r="H23" s="12">
        <f t="shared" si="5"/>
        <v>584.17985229156864</v>
      </c>
      <c r="I23" s="12">
        <f t="shared" si="5"/>
        <v>635.65405623904223</v>
      </c>
      <c r="J23" s="12">
        <f t="shared" si="5"/>
        <v>697.86911550414436</v>
      </c>
      <c r="K23" s="12">
        <f t="shared" si="5"/>
        <v>733.09501214937904</v>
      </c>
      <c r="L23" s="2" t="s">
        <v>391</v>
      </c>
    </row>
    <row r="24" spans="1:12" x14ac:dyDescent="0.25">
      <c r="A24" s="10" t="s">
        <v>392</v>
      </c>
      <c r="F24" s="13">
        <f>'Income Statement'!F32</f>
        <v>28.05</v>
      </c>
      <c r="G24" s="13">
        <f>'Income Statement'!G32</f>
        <v>36.130815000000005</v>
      </c>
      <c r="H24" s="13">
        <f>'Income Statement'!H32</f>
        <v>38.577285325000005</v>
      </c>
      <c r="I24" s="13">
        <f>'Income Statement'!I32</f>
        <v>41.257590992000004</v>
      </c>
      <c r="J24" s="13">
        <f>'Income Statement'!J32</f>
        <v>43.791262289904004</v>
      </c>
      <c r="K24" s="13">
        <f>'Income Statement'!K32</f>
        <v>46.178681367288966</v>
      </c>
    </row>
    <row r="25" spans="1:12" x14ac:dyDescent="0.25">
      <c r="A25" s="10" t="s">
        <v>393</v>
      </c>
      <c r="G25" s="26">
        <f>DCF!C34/G21</f>
        <v>0.61807239129593183</v>
      </c>
      <c r="L25" s="2" t="s">
        <v>394</v>
      </c>
    </row>
    <row r="27" spans="1:12" x14ac:dyDescent="0.25">
      <c r="A27" s="8" t="s">
        <v>395</v>
      </c>
      <c r="B27" s="9"/>
      <c r="C27" s="9"/>
    </row>
    <row r="28" spans="1:12" x14ac:dyDescent="0.25">
      <c r="A28" s="10" t="s">
        <v>83</v>
      </c>
      <c r="C28" s="13">
        <f>'Income Statement'!K7</f>
        <v>4015.5375101990408</v>
      </c>
    </row>
    <row r="29" spans="1:12" x14ac:dyDescent="0.25">
      <c r="A29" s="10" t="s">
        <v>396</v>
      </c>
      <c r="C29" s="26">
        <f>'Income Statement'!K8</f>
        <v>5.4518160759558176E-2</v>
      </c>
    </row>
    <row r="30" spans="1:12" x14ac:dyDescent="0.25">
      <c r="A30" s="10" t="s">
        <v>373</v>
      </c>
      <c r="C30" s="13">
        <f>'Income Statement'!K35</f>
        <v>1057.1406942925987</v>
      </c>
    </row>
    <row r="31" spans="1:12" x14ac:dyDescent="0.25">
      <c r="A31" s="10" t="s">
        <v>375</v>
      </c>
      <c r="C31" s="13">
        <f>'Income Statement'!K30</f>
        <v>1010.9620129253096</v>
      </c>
    </row>
    <row r="32" spans="1:12" x14ac:dyDescent="0.25">
      <c r="A32" s="10" t="s">
        <v>397</v>
      </c>
      <c r="C32" s="13">
        <f>'Income Statement'!K27</f>
        <v>963.72900244776974</v>
      </c>
    </row>
    <row r="33" spans="1:12" x14ac:dyDescent="0.25">
      <c r="A33" s="10" t="s">
        <v>381</v>
      </c>
      <c r="C33" s="12">
        <f>K16</f>
        <v>742.07133188478269</v>
      </c>
    </row>
    <row r="34" spans="1:12" x14ac:dyDescent="0.25">
      <c r="A34" s="10" t="s">
        <v>398</v>
      </c>
      <c r="C34" s="12">
        <f>K21</f>
        <v>733.09501214937904</v>
      </c>
    </row>
    <row r="35" spans="1:12" x14ac:dyDescent="0.25">
      <c r="A35" s="10" t="s">
        <v>399</v>
      </c>
      <c r="C35" s="36">
        <f>K17/-K19</f>
        <v>0.84018302758033159</v>
      </c>
    </row>
    <row r="37" spans="1:12" x14ac:dyDescent="0.25">
      <c r="A37" s="8" t="s">
        <v>400</v>
      </c>
      <c r="B37" s="9"/>
      <c r="C37" s="9"/>
    </row>
    <row r="38" spans="1:12" x14ac:dyDescent="0.25">
      <c r="A38" s="10" t="s">
        <v>401</v>
      </c>
      <c r="C38" s="30">
        <v>28.36</v>
      </c>
      <c r="L38" s="2" t="s">
        <v>402</v>
      </c>
    </row>
    <row r="39" spans="1:12" x14ac:dyDescent="0.25">
      <c r="A39" s="10" t="s">
        <v>403</v>
      </c>
      <c r="C39" s="11">
        <v>253.04</v>
      </c>
      <c r="L39" s="2" t="s">
        <v>404</v>
      </c>
    </row>
    <row r="40" spans="1:12" x14ac:dyDescent="0.25">
      <c r="A40" s="10" t="s">
        <v>405</v>
      </c>
      <c r="C40" s="12">
        <f>C38*C39</f>
        <v>7176.2143999999998</v>
      </c>
    </row>
    <row r="41" spans="1:12" x14ac:dyDescent="0.25">
      <c r="A41" s="10" t="s">
        <v>406</v>
      </c>
      <c r="C41" s="11">
        <v>674.85</v>
      </c>
      <c r="L41" s="2" t="s">
        <v>407</v>
      </c>
    </row>
    <row r="42" spans="1:12" x14ac:dyDescent="0.25">
      <c r="A42" s="10" t="s">
        <v>408</v>
      </c>
      <c r="C42" s="11">
        <v>631.23</v>
      </c>
      <c r="L42" s="2" t="s">
        <v>409</v>
      </c>
    </row>
    <row r="43" spans="1:12" x14ac:dyDescent="0.25">
      <c r="A43" s="10" t="s">
        <v>410</v>
      </c>
      <c r="C43" s="11">
        <v>1.9</v>
      </c>
      <c r="L43" s="2" t="s">
        <v>411</v>
      </c>
    </row>
    <row r="44" spans="1:12" x14ac:dyDescent="0.25">
      <c r="A44" s="10" t="s">
        <v>412</v>
      </c>
      <c r="C44" s="12">
        <f>C41-C42</f>
        <v>43.620000000000005</v>
      </c>
      <c r="L44" s="2" t="s">
        <v>413</v>
      </c>
    </row>
    <row r="45" spans="1:12" x14ac:dyDescent="0.25">
      <c r="A45" s="10" t="s">
        <v>414</v>
      </c>
      <c r="C45" s="11">
        <v>550</v>
      </c>
      <c r="L45" s="2" t="s">
        <v>415</v>
      </c>
    </row>
    <row r="46" spans="1:12" x14ac:dyDescent="0.25">
      <c r="A46" s="10" t="s">
        <v>416</v>
      </c>
      <c r="C46" s="11">
        <v>22</v>
      </c>
      <c r="L46" s="2" t="s">
        <v>417</v>
      </c>
    </row>
    <row r="47" spans="1:12" x14ac:dyDescent="0.25">
      <c r="A47" s="10" t="s">
        <v>418</v>
      </c>
      <c r="C47" s="41">
        <f>C45/C46</f>
        <v>25</v>
      </c>
    </row>
    <row r="48" spans="1:12" x14ac:dyDescent="0.25">
      <c r="A48" s="10" t="s">
        <v>419</v>
      </c>
      <c r="C48" s="11">
        <v>585</v>
      </c>
      <c r="L48" s="2" t="s">
        <v>420</v>
      </c>
    </row>
    <row r="49" spans="1:12" x14ac:dyDescent="0.25">
      <c r="A49" s="10" t="s">
        <v>421</v>
      </c>
      <c r="C49" s="11">
        <v>11.304</v>
      </c>
      <c r="L49" s="2" t="s">
        <v>422</v>
      </c>
    </row>
    <row r="50" spans="1:12" x14ac:dyDescent="0.25">
      <c r="A50" s="10" t="s">
        <v>423</v>
      </c>
      <c r="C50" s="41">
        <f>C48/C49</f>
        <v>51.751592356687894</v>
      </c>
      <c r="L50" s="2" t="s">
        <v>424</v>
      </c>
    </row>
    <row r="51" spans="1:12" x14ac:dyDescent="0.25">
      <c r="A51" s="10" t="s">
        <v>425</v>
      </c>
      <c r="C51" s="11">
        <v>8.76</v>
      </c>
      <c r="L51" s="2" t="s">
        <v>426</v>
      </c>
    </row>
    <row r="52" spans="1:12" x14ac:dyDescent="0.25">
      <c r="A52" s="10" t="s">
        <v>427</v>
      </c>
      <c r="C52" s="42">
        <v>1</v>
      </c>
      <c r="L52" s="2" t="s">
        <v>428</v>
      </c>
    </row>
    <row r="53" spans="1:12" x14ac:dyDescent="0.25">
      <c r="A53" s="10" t="s">
        <v>429</v>
      </c>
      <c r="C53" s="30">
        <v>42.19</v>
      </c>
      <c r="L53" s="2" t="s">
        <v>430</v>
      </c>
    </row>
    <row r="54" spans="1:12" x14ac:dyDescent="0.25">
      <c r="A54" s="10" t="s">
        <v>431</v>
      </c>
      <c r="C54" s="11">
        <v>3170</v>
      </c>
      <c r="L54" s="2" t="s">
        <v>432</v>
      </c>
    </row>
    <row r="55" spans="1:12" x14ac:dyDescent="0.25">
      <c r="A55" s="10" t="s">
        <v>433</v>
      </c>
      <c r="C55" s="11">
        <v>3440</v>
      </c>
      <c r="L55" s="2" t="s">
        <v>432</v>
      </c>
    </row>
    <row r="56" spans="1:12" x14ac:dyDescent="0.25">
      <c r="A56" s="10" t="s">
        <v>434</v>
      </c>
      <c r="C56" s="43" t="s">
        <v>435</v>
      </c>
      <c r="L56" s="2" t="s">
        <v>432</v>
      </c>
    </row>
    <row r="57" spans="1:12" x14ac:dyDescent="0.25">
      <c r="A57" s="10" t="s">
        <v>436</v>
      </c>
      <c r="C57" s="26">
        <f>'Income Statement'!G7/C54-1</f>
        <v>-8.8927444794951738E-3</v>
      </c>
    </row>
    <row r="58" spans="1:12" x14ac:dyDescent="0.25">
      <c r="A58" s="10" t="s">
        <v>437</v>
      </c>
      <c r="C58" s="26">
        <f>'Income Statement'!H7/C55-1</f>
        <v>-2.4841119186046368E-2</v>
      </c>
    </row>
    <row r="60" spans="1:12" x14ac:dyDescent="0.25">
      <c r="A60" s="2" t="s">
        <v>438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J83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50" customWidth="1"/>
    <col min="2" max="8" width="13" customWidth="1"/>
    <col min="9" max="9" width="3" customWidth="1"/>
    <col min="10" max="10" width="95" customWidth="1"/>
  </cols>
  <sheetData>
    <row r="1" spans="1:10" ht="18" x14ac:dyDescent="0.25">
      <c r="A1" s="1" t="s">
        <v>439</v>
      </c>
    </row>
    <row r="2" spans="1:10" x14ac:dyDescent="0.25">
      <c r="A2" s="2" t="s">
        <v>440</v>
      </c>
    </row>
    <row r="3" spans="1:10" x14ac:dyDescent="0.25">
      <c r="A3" s="3" t="s">
        <v>2</v>
      </c>
      <c r="B3" s="4" t="str">
        <f>CHOOSE(Scenarios!$C$4,"Bull case","Base case","Bear case")</f>
        <v>Base case</v>
      </c>
    </row>
    <row r="5" spans="1:10" x14ac:dyDescent="0.25">
      <c r="A5" s="8" t="s">
        <v>441</v>
      </c>
      <c r="B5" s="9"/>
      <c r="C5" s="9"/>
      <c r="D5" s="9"/>
      <c r="E5" s="9"/>
      <c r="F5" s="9"/>
      <c r="G5" s="9"/>
      <c r="H5" s="9"/>
    </row>
    <row r="6" spans="1:10" x14ac:dyDescent="0.25">
      <c r="A6" s="10" t="s">
        <v>442</v>
      </c>
      <c r="C6" s="44">
        <v>46308</v>
      </c>
    </row>
    <row r="7" spans="1:10" x14ac:dyDescent="0.25">
      <c r="A7" s="10" t="s">
        <v>443</v>
      </c>
      <c r="C7" s="44">
        <v>46203</v>
      </c>
    </row>
    <row r="8" spans="1:10" x14ac:dyDescent="0.25">
      <c r="A8" s="10" t="s">
        <v>444</v>
      </c>
      <c r="C8" s="45">
        <f>(C6-C7)/365</f>
        <v>0.28767123287671231</v>
      </c>
    </row>
    <row r="10" spans="1:10" x14ac:dyDescent="0.25">
      <c r="A10" s="8" t="s">
        <v>445</v>
      </c>
      <c r="B10" s="9"/>
      <c r="C10" s="9"/>
      <c r="D10" s="9"/>
      <c r="E10" s="9"/>
      <c r="F10" s="9"/>
      <c r="G10" s="9"/>
      <c r="H10" s="9"/>
    </row>
    <row r="11" spans="1:10" x14ac:dyDescent="0.25">
      <c r="A11" s="10" t="s">
        <v>446</v>
      </c>
      <c r="C11" s="16">
        <v>5.1900000000000002E-2</v>
      </c>
      <c r="J11" s="2" t="s">
        <v>447</v>
      </c>
    </row>
    <row r="12" spans="1:10" x14ac:dyDescent="0.25">
      <c r="A12" s="10" t="s">
        <v>448</v>
      </c>
      <c r="C12" s="16">
        <v>0.05</v>
      </c>
      <c r="J12" s="2" t="s">
        <v>449</v>
      </c>
    </row>
    <row r="13" spans="1:10" x14ac:dyDescent="0.25">
      <c r="A13" s="10" t="s">
        <v>450</v>
      </c>
      <c r="C13" s="46">
        <f>'DCF Inputs'!$C$52</f>
        <v>1</v>
      </c>
      <c r="J13" s="2" t="s">
        <v>451</v>
      </c>
    </row>
    <row r="14" spans="1:10" x14ac:dyDescent="0.25">
      <c r="A14" s="10" t="s">
        <v>452</v>
      </c>
      <c r="C14" s="16">
        <v>0.01</v>
      </c>
      <c r="J14" s="2" t="s">
        <v>453</v>
      </c>
    </row>
    <row r="15" spans="1:10" x14ac:dyDescent="0.25">
      <c r="A15" s="3" t="s">
        <v>454</v>
      </c>
      <c r="C15" s="19">
        <f>C11+C13*C12+C14</f>
        <v>0.1119</v>
      </c>
    </row>
    <row r="16" spans="1:10" x14ac:dyDescent="0.25">
      <c r="A16" s="10" t="s">
        <v>455</v>
      </c>
      <c r="C16" s="26">
        <f>'Balance Sheet'!G84</f>
        <v>6.7500000000000004E-2</v>
      </c>
      <c r="J16" s="2" t="s">
        <v>456</v>
      </c>
    </row>
    <row r="17" spans="1:10" x14ac:dyDescent="0.25">
      <c r="A17" s="10" t="s">
        <v>457</v>
      </c>
      <c r="C17" s="26">
        <f>'Income Statement'!H45</f>
        <v>0.23</v>
      </c>
    </row>
    <row r="18" spans="1:10" x14ac:dyDescent="0.25">
      <c r="A18" s="10" t="s">
        <v>458</v>
      </c>
      <c r="C18" s="14">
        <f>C16*(1-C17)</f>
        <v>5.1975000000000007E-2</v>
      </c>
    </row>
    <row r="19" spans="1:10" x14ac:dyDescent="0.25">
      <c r="A19" s="10" t="s">
        <v>459</v>
      </c>
      <c r="C19" s="16">
        <v>7.0000000000000007E-2</v>
      </c>
      <c r="J19" s="2" t="s">
        <v>460</v>
      </c>
    </row>
    <row r="21" spans="1:10" x14ac:dyDescent="0.25">
      <c r="A21" s="47" t="s">
        <v>461</v>
      </c>
      <c r="C21" s="47" t="s">
        <v>462</v>
      </c>
      <c r="D21" s="47" t="s">
        <v>463</v>
      </c>
      <c r="E21" s="47" t="s">
        <v>464</v>
      </c>
      <c r="F21" s="47" t="s">
        <v>465</v>
      </c>
    </row>
    <row r="22" spans="1:10" x14ac:dyDescent="0.25">
      <c r="A22" s="10" t="s">
        <v>466</v>
      </c>
      <c r="C22" s="13">
        <f>'DCF Inputs'!$C$40</f>
        <v>7176.2143999999998</v>
      </c>
      <c r="D22" s="14">
        <f>C22/SUM($C$22:$C$24)</f>
        <v>0.7920780084345399</v>
      </c>
      <c r="E22" s="14">
        <f>C15</f>
        <v>0.1119</v>
      </c>
      <c r="F22" s="14">
        <f>D22*E22</f>
        <v>8.863352914382501E-2</v>
      </c>
    </row>
    <row r="23" spans="1:10" x14ac:dyDescent="0.25">
      <c r="A23" s="10" t="s">
        <v>467</v>
      </c>
      <c r="C23" s="13">
        <f>MAX('DCF Inputs'!$C$45,'DCF Inputs'!$C$46*'DCF Inputs'!$C$38)+'DCF Inputs'!$C$48</f>
        <v>1208.92</v>
      </c>
      <c r="D23" s="14">
        <f>C23/SUM($C$22:$C$24)</f>
        <v>0.13343510834301217</v>
      </c>
      <c r="E23" s="14">
        <f>C19</f>
        <v>7.0000000000000007E-2</v>
      </c>
      <c r="F23" s="14">
        <f>D23*E23</f>
        <v>9.3404575840108535E-3</v>
      </c>
    </row>
    <row r="24" spans="1:10" x14ac:dyDescent="0.25">
      <c r="A24" s="10" t="s">
        <v>468</v>
      </c>
      <c r="C24" s="13">
        <f>'DCF Inputs'!$C$41</f>
        <v>674.85</v>
      </c>
      <c r="D24" s="14">
        <f>C24/SUM($C$22:$C$24)</f>
        <v>7.4486883222447939E-2</v>
      </c>
      <c r="E24" s="14">
        <f>C18</f>
        <v>5.1975000000000007E-2</v>
      </c>
      <c r="F24" s="14">
        <f>D24*E24</f>
        <v>3.871455755486732E-3</v>
      </c>
    </row>
    <row r="25" spans="1:10" x14ac:dyDescent="0.25">
      <c r="A25" s="3" t="s">
        <v>469</v>
      </c>
      <c r="C25" s="15">
        <f>SUM(C22:C24)</f>
        <v>9059.9843999999994</v>
      </c>
      <c r="D25" s="14">
        <f>SUM(D22:D24)</f>
        <v>1</v>
      </c>
      <c r="F25" s="19">
        <f>SUM(F22:F24)</f>
        <v>0.1018454424833226</v>
      </c>
    </row>
    <row r="26" spans="1:10" x14ac:dyDescent="0.25">
      <c r="A26" s="3" t="s">
        <v>470</v>
      </c>
      <c r="C26" s="48">
        <f>ROUND(F25,3)</f>
        <v>0.10199999999999999</v>
      </c>
      <c r="J26" s="2" t="s">
        <v>471</v>
      </c>
    </row>
    <row r="27" spans="1:10" x14ac:dyDescent="0.25">
      <c r="A27" s="3" t="s">
        <v>472</v>
      </c>
      <c r="C27" s="32">
        <v>0.03</v>
      </c>
      <c r="J27" s="2" t="s">
        <v>473</v>
      </c>
    </row>
    <row r="28" spans="1:10" x14ac:dyDescent="0.25">
      <c r="A28" s="3" t="s">
        <v>474</v>
      </c>
      <c r="C28" s="49">
        <v>11</v>
      </c>
      <c r="J28" s="2" t="s">
        <v>475</v>
      </c>
    </row>
    <row r="30" spans="1:10" x14ac:dyDescent="0.25">
      <c r="A30" s="8" t="s">
        <v>476</v>
      </c>
      <c r="B30" s="9"/>
      <c r="C30" s="9"/>
      <c r="D30" s="9"/>
      <c r="E30" s="9"/>
      <c r="F30" s="9"/>
      <c r="G30" s="9"/>
      <c r="H30" s="9"/>
    </row>
    <row r="31" spans="1:10" x14ac:dyDescent="0.25">
      <c r="A31" s="10" t="s">
        <v>477</v>
      </c>
      <c r="C31" s="11">
        <v>296.33</v>
      </c>
      <c r="J31" s="2" t="s">
        <v>478</v>
      </c>
    </row>
    <row r="32" spans="1:10" x14ac:dyDescent="0.25">
      <c r="A32" s="10" t="s">
        <v>479</v>
      </c>
      <c r="C32" s="11">
        <v>-24.98</v>
      </c>
      <c r="J32" s="2" t="s">
        <v>480</v>
      </c>
    </row>
    <row r="33" spans="1:10" x14ac:dyDescent="0.25">
      <c r="A33" s="10" t="s">
        <v>481</v>
      </c>
      <c r="C33" s="11">
        <v>16.739999999999998</v>
      </c>
      <c r="J33" s="2" t="s">
        <v>482</v>
      </c>
    </row>
    <row r="34" spans="1:10" x14ac:dyDescent="0.25">
      <c r="A34" s="3" t="s">
        <v>483</v>
      </c>
      <c r="C34" s="15">
        <f>C31+C32+C33*(1-C17)</f>
        <v>284.23979999999995</v>
      </c>
    </row>
    <row r="36" spans="1:10" x14ac:dyDescent="0.25">
      <c r="A36" s="8" t="s">
        <v>484</v>
      </c>
      <c r="B36" s="9"/>
      <c r="C36" s="9"/>
      <c r="D36" s="9"/>
      <c r="E36" s="9"/>
      <c r="F36" s="9"/>
      <c r="G36" s="9"/>
      <c r="H36" s="9"/>
    </row>
    <row r="37" spans="1:10" x14ac:dyDescent="0.25">
      <c r="A37" s="47" t="s">
        <v>462</v>
      </c>
      <c r="D37" s="47" t="s">
        <v>67</v>
      </c>
      <c r="E37" s="47" t="s">
        <v>485</v>
      </c>
      <c r="F37" s="47" t="s">
        <v>486</v>
      </c>
      <c r="G37" s="47" t="s">
        <v>487</v>
      </c>
      <c r="H37" s="47" t="s">
        <v>488</v>
      </c>
    </row>
    <row r="38" spans="1:10" x14ac:dyDescent="0.25">
      <c r="A38" s="10" t="s">
        <v>489</v>
      </c>
      <c r="D38" s="13">
        <f>'DCF Inputs'!G7</f>
        <v>3141.8100000000004</v>
      </c>
      <c r="E38" s="13">
        <f>'DCF Inputs'!H7</f>
        <v>3354.5465500000005</v>
      </c>
      <c r="F38" s="13">
        <f>'DCF Inputs'!I7</f>
        <v>3587.6166080000003</v>
      </c>
      <c r="G38" s="13">
        <f>'DCF Inputs'!J7</f>
        <v>3807.9358512960007</v>
      </c>
      <c r="H38" s="13">
        <f>'DCF Inputs'!K7</f>
        <v>4015.5375101990408</v>
      </c>
    </row>
    <row r="39" spans="1:10" x14ac:dyDescent="0.25">
      <c r="A39" s="10" t="s">
        <v>490</v>
      </c>
      <c r="D39" s="13">
        <f>'DCF Inputs'!G9</f>
        <v>718.46746500000006</v>
      </c>
      <c r="E39" s="13">
        <f>'DCF Inputs'!H9</f>
        <v>816.77842777500007</v>
      </c>
      <c r="F39" s="13">
        <f>'DCF Inputs'!I9</f>
        <v>918.50651548000008</v>
      </c>
      <c r="G39" s="13">
        <f>'DCF Inputs'!J9</f>
        <v>1002.7362260538723</v>
      </c>
      <c r="H39" s="13">
        <f>'DCF Inputs'!K9</f>
        <v>1057.1406942925987</v>
      </c>
    </row>
    <row r="40" spans="1:10" x14ac:dyDescent="0.25">
      <c r="A40" s="10" t="s">
        <v>491</v>
      </c>
      <c r="D40" s="13">
        <f>'DCF Inputs'!G21</f>
        <v>459.88108189726034</v>
      </c>
      <c r="E40" s="13">
        <f>'DCF Inputs'!H21</f>
        <v>584.17985229156864</v>
      </c>
      <c r="F40" s="13">
        <f>'DCF Inputs'!I21</f>
        <v>635.65405623904223</v>
      </c>
      <c r="G40" s="13">
        <f>'DCF Inputs'!J21</f>
        <v>697.86911550414436</v>
      </c>
      <c r="H40" s="13">
        <f>'DCF Inputs'!K21</f>
        <v>733.09501214937904</v>
      </c>
    </row>
    <row r="41" spans="1:10" x14ac:dyDescent="0.25">
      <c r="A41" s="10" t="s">
        <v>492</v>
      </c>
      <c r="D41" s="12">
        <f>-C34</f>
        <v>-284.23979999999995</v>
      </c>
      <c r="E41" s="11">
        <v>0</v>
      </c>
      <c r="F41" s="11">
        <v>0</v>
      </c>
      <c r="G41" s="11">
        <v>0</v>
      </c>
      <c r="H41" s="11">
        <v>0</v>
      </c>
    </row>
    <row r="42" spans="1:10" x14ac:dyDescent="0.25">
      <c r="A42" s="3" t="s">
        <v>493</v>
      </c>
      <c r="D42" s="15">
        <f>D40+D41</f>
        <v>175.6412818972604</v>
      </c>
      <c r="E42" s="15">
        <f>E40+E41</f>
        <v>584.17985229156864</v>
      </c>
      <c r="F42" s="15">
        <f>F40+F41</f>
        <v>635.65405623904223</v>
      </c>
      <c r="G42" s="15">
        <f>G40+G41</f>
        <v>697.86911550414436</v>
      </c>
      <c r="H42" s="15">
        <f>H40+H41</f>
        <v>733.09501214937904</v>
      </c>
    </row>
    <row r="43" spans="1:10" x14ac:dyDescent="0.25">
      <c r="A43" s="10" t="s">
        <v>494</v>
      </c>
      <c r="D43" s="50">
        <v>0.25</v>
      </c>
      <c r="E43" s="50">
        <v>1</v>
      </c>
      <c r="F43" s="50">
        <v>2</v>
      </c>
      <c r="G43" s="50">
        <v>3</v>
      </c>
      <c r="H43" s="50">
        <v>4</v>
      </c>
      <c r="J43" s="2" t="s">
        <v>495</v>
      </c>
    </row>
    <row r="44" spans="1:10" x14ac:dyDescent="0.25">
      <c r="A44" s="10" t="s">
        <v>496</v>
      </c>
      <c r="D44" s="51">
        <f>1/(1+$C$26)^D43</f>
        <v>0.97601075058829923</v>
      </c>
      <c r="E44" s="51">
        <f>1/(1+$C$26)^E43</f>
        <v>0.90744101633393826</v>
      </c>
      <c r="F44" s="51">
        <f>1/(1+$C$26)^F43</f>
        <v>0.8234491981251707</v>
      </c>
      <c r="G44" s="51">
        <f>1/(1+$C$26)^G43</f>
        <v>0.74723157724607137</v>
      </c>
      <c r="H44" s="51">
        <f>1/(1+$C$26)^H43</f>
        <v>0.67806858189298669</v>
      </c>
    </row>
    <row r="45" spans="1:10" x14ac:dyDescent="0.25">
      <c r="A45" s="3" t="s">
        <v>497</v>
      </c>
      <c r="D45" s="15">
        <f>D42*D44</f>
        <v>171.42777937883616</v>
      </c>
      <c r="E45" s="15">
        <f>E42*E44</f>
        <v>530.10875888527096</v>
      </c>
      <c r="F45" s="15">
        <f>F42*F44</f>
        <v>523.42882289505144</v>
      </c>
      <c r="G45" s="15">
        <f>G42*G44</f>
        <v>521.4698398894825</v>
      </c>
      <c r="H45" s="15">
        <f>H42*H44</f>
        <v>497.0886952809513</v>
      </c>
    </row>
    <row r="46" spans="1:10" x14ac:dyDescent="0.25">
      <c r="A46" s="10" t="s">
        <v>498</v>
      </c>
      <c r="D46" s="14">
        <f>D40/D38</f>
        <v>0.14637456813023711</v>
      </c>
      <c r="E46" s="14">
        <f>E40/E38</f>
        <v>0.17414569855695355</v>
      </c>
      <c r="F46" s="14">
        <f>F40/F38</f>
        <v>0.17718004059341286</v>
      </c>
      <c r="G46" s="14">
        <f>G40/G38</f>
        <v>0.18326703567409891</v>
      </c>
      <c r="H46" s="14">
        <f>H40/H38</f>
        <v>0.1825646031913275</v>
      </c>
    </row>
    <row r="48" spans="1:10" x14ac:dyDescent="0.25">
      <c r="A48" s="8" t="s">
        <v>499</v>
      </c>
      <c r="B48" s="9"/>
      <c r="C48" s="9"/>
      <c r="D48" s="9"/>
      <c r="E48" s="9"/>
      <c r="F48" s="9"/>
      <c r="G48" s="9"/>
      <c r="H48" s="9"/>
    </row>
    <row r="49" spans="1:8" x14ac:dyDescent="0.25">
      <c r="A49" s="47" t="s">
        <v>462</v>
      </c>
      <c r="C49" s="47" t="s">
        <v>500</v>
      </c>
      <c r="D49" s="47" t="s">
        <v>501</v>
      </c>
    </row>
    <row r="50" spans="1:8" x14ac:dyDescent="0.25">
      <c r="A50" s="10" t="s">
        <v>502</v>
      </c>
      <c r="C50" s="12">
        <f>H40</f>
        <v>733.09501214937904</v>
      </c>
      <c r="D50" s="12">
        <f>H39</f>
        <v>1057.1406942925987</v>
      </c>
    </row>
    <row r="51" spans="1:8" x14ac:dyDescent="0.25">
      <c r="A51" s="10" t="s">
        <v>503</v>
      </c>
      <c r="C51" s="14">
        <f>C27</f>
        <v>0.03</v>
      </c>
      <c r="D51" s="52">
        <f>C28</f>
        <v>11</v>
      </c>
    </row>
    <row r="52" spans="1:8" x14ac:dyDescent="0.25">
      <c r="A52" s="3" t="s">
        <v>504</v>
      </c>
      <c r="C52" s="15">
        <f>C50*(1+C51)/(C26-C51)</f>
        <v>10487.331423803616</v>
      </c>
      <c r="D52" s="15">
        <f>D50*D51</f>
        <v>11628.547637218586</v>
      </c>
    </row>
    <row r="53" spans="1:8" x14ac:dyDescent="0.25">
      <c r="A53" s="10" t="s">
        <v>505</v>
      </c>
      <c r="C53" s="11">
        <v>4.5</v>
      </c>
      <c r="D53" s="12">
        <f>C53</f>
        <v>4.5</v>
      </c>
    </row>
    <row r="54" spans="1:8" x14ac:dyDescent="0.25">
      <c r="A54" s="10" t="s">
        <v>506</v>
      </c>
      <c r="C54" s="12">
        <f>C52/(1+$C$26)^C53</f>
        <v>6774.0409487419411</v>
      </c>
      <c r="D54" s="12">
        <f>D52/(1+$C$26)^D53</f>
        <v>7511.1822717952582</v>
      </c>
    </row>
    <row r="55" spans="1:8" x14ac:dyDescent="0.25">
      <c r="A55" s="10" t="s">
        <v>507</v>
      </c>
      <c r="C55" s="52">
        <f>C52/D50</f>
        <v>9.9204689408171625</v>
      </c>
      <c r="D55" s="14">
        <f>(D52*C26-C50)/(D52+C50)</f>
        <v>3.6646978051098969E-2</v>
      </c>
    </row>
    <row r="57" spans="1:8" x14ac:dyDescent="0.25">
      <c r="A57" s="8" t="s">
        <v>508</v>
      </c>
      <c r="B57" s="9"/>
      <c r="C57" s="9"/>
      <c r="D57" s="9"/>
      <c r="E57" s="9"/>
      <c r="F57" s="9"/>
      <c r="G57" s="9"/>
      <c r="H57" s="9"/>
    </row>
    <row r="58" spans="1:8" x14ac:dyDescent="0.25">
      <c r="A58" s="47" t="s">
        <v>462</v>
      </c>
      <c r="C58" s="47" t="s">
        <v>500</v>
      </c>
      <c r="D58" s="47" t="s">
        <v>501</v>
      </c>
    </row>
    <row r="59" spans="1:8" x14ac:dyDescent="0.25">
      <c r="A59" s="10" t="s">
        <v>509</v>
      </c>
      <c r="C59" s="12">
        <f>SUM($D$45:$H$45)</f>
        <v>2243.5238963295924</v>
      </c>
      <c r="D59" s="12">
        <f>SUM($D$45:$H$45)</f>
        <v>2243.5238963295924</v>
      </c>
    </row>
    <row r="60" spans="1:8" x14ac:dyDescent="0.25">
      <c r="A60" s="10" t="s">
        <v>510</v>
      </c>
      <c r="C60" s="12">
        <f>C54</f>
        <v>6774.0409487419411</v>
      </c>
      <c r="D60" s="12">
        <f>D54</f>
        <v>7511.1822717952582</v>
      </c>
    </row>
    <row r="61" spans="1:8" x14ac:dyDescent="0.25">
      <c r="A61" s="3" t="s">
        <v>511</v>
      </c>
      <c r="C61" s="15">
        <f>C59+C60</f>
        <v>9017.5648450715344</v>
      </c>
      <c r="D61" s="15">
        <f>D59+D60</f>
        <v>9754.7061681248506</v>
      </c>
    </row>
    <row r="62" spans="1:8" x14ac:dyDescent="0.25">
      <c r="A62" s="10" t="s">
        <v>512</v>
      </c>
      <c r="C62" s="14">
        <f>C60/C61</f>
        <v>0.75120512745125745</v>
      </c>
      <c r="D62" s="14">
        <f>D60/D61</f>
        <v>0.7700059993953805</v>
      </c>
    </row>
    <row r="63" spans="1:8" x14ac:dyDescent="0.25">
      <c r="A63" s="10" t="s">
        <v>513</v>
      </c>
      <c r="C63" s="51">
        <f>(1+$C$26)^$C$8</f>
        <v>1.0283345590373938</v>
      </c>
      <c r="D63" s="51">
        <f>(1+$C$26)^$C$8</f>
        <v>1.0283345590373938</v>
      </c>
    </row>
    <row r="64" spans="1:8" x14ac:dyDescent="0.25">
      <c r="A64" s="3" t="s">
        <v>514</v>
      </c>
      <c r="C64" s="15">
        <f>C61*C63</f>
        <v>9273.0735685477412</v>
      </c>
      <c r="D64" s="15">
        <f>D61*D63</f>
        <v>10031.101465938014</v>
      </c>
    </row>
    <row r="65" spans="1:10" x14ac:dyDescent="0.25">
      <c r="A65" s="10" t="s">
        <v>515</v>
      </c>
      <c r="C65" s="13">
        <f>'DCF Inputs'!$C$42</f>
        <v>631.23</v>
      </c>
      <c r="D65" s="12">
        <f>C65</f>
        <v>631.23</v>
      </c>
      <c r="J65" s="2" t="s">
        <v>516</v>
      </c>
    </row>
    <row r="66" spans="1:10" x14ac:dyDescent="0.25">
      <c r="A66" s="10" t="s">
        <v>517</v>
      </c>
      <c r="C66" s="13">
        <f>'DCF Inputs'!$C$41</f>
        <v>674.85</v>
      </c>
      <c r="D66" s="12">
        <f>C66</f>
        <v>674.85</v>
      </c>
    </row>
    <row r="67" spans="1:10" x14ac:dyDescent="0.25">
      <c r="A67" s="10" t="s">
        <v>518</v>
      </c>
      <c r="C67" s="13">
        <f>'DCF Inputs'!$C$51</f>
        <v>8.76</v>
      </c>
      <c r="D67" s="12">
        <f>C67</f>
        <v>8.76</v>
      </c>
    </row>
    <row r="68" spans="1:10" x14ac:dyDescent="0.25">
      <c r="A68" s="3" t="s">
        <v>519</v>
      </c>
      <c r="C68" s="15">
        <f>C64+C65-C66-C67</f>
        <v>9220.6935685477401</v>
      </c>
      <c r="D68" s="15">
        <f>D64+D65-D66-D67</f>
        <v>9978.7214659380134</v>
      </c>
    </row>
    <row r="69" spans="1:10" x14ac:dyDescent="0.25">
      <c r="A69" s="10" t="s">
        <v>520</v>
      </c>
      <c r="C69" s="13">
        <f>'DCF Inputs'!$C$39+'Income Statement'!G53</f>
        <v>255.54</v>
      </c>
      <c r="D69" s="12">
        <f>C69</f>
        <v>255.54</v>
      </c>
    </row>
    <row r="70" spans="1:10" x14ac:dyDescent="0.25">
      <c r="A70" s="10" t="s">
        <v>521</v>
      </c>
      <c r="C70" s="13">
        <f>'DCF Inputs'!$C$46</f>
        <v>22</v>
      </c>
    </row>
    <row r="71" spans="1:10" x14ac:dyDescent="0.25">
      <c r="A71" s="10" t="s">
        <v>522</v>
      </c>
      <c r="C71" s="13">
        <f>'DCF Inputs'!$C$45</f>
        <v>550</v>
      </c>
    </row>
    <row r="72" spans="1:10" x14ac:dyDescent="0.25">
      <c r="A72" s="10" t="s">
        <v>523</v>
      </c>
      <c r="C72" s="53">
        <f>'DCF Inputs'!$C$47</f>
        <v>25</v>
      </c>
    </row>
    <row r="73" spans="1:10" x14ac:dyDescent="0.25">
      <c r="A73" s="10" t="s">
        <v>524</v>
      </c>
      <c r="C73" s="13">
        <f>'DCF Inputs'!$C$49</f>
        <v>11.304</v>
      </c>
    </row>
    <row r="74" spans="1:10" x14ac:dyDescent="0.25">
      <c r="A74" s="10" t="s">
        <v>525</v>
      </c>
      <c r="C74" s="13">
        <f>'DCF Inputs'!$C$48</f>
        <v>585</v>
      </c>
    </row>
    <row r="75" spans="1:10" x14ac:dyDescent="0.25">
      <c r="A75" s="10" t="s">
        <v>526</v>
      </c>
      <c r="C75" s="53">
        <f>'DCF Inputs'!$C$50</f>
        <v>51.751592356687894</v>
      </c>
    </row>
    <row r="76" spans="1:10" x14ac:dyDescent="0.25">
      <c r="A76" s="3" t="s">
        <v>527</v>
      </c>
      <c r="C76" s="54">
        <f>IF(((C68)-DCF!$C$74)/(DCF!$C$69+DCF!$C$70)&gt;DCF!$C$72,IF((C68)/(DCF!$C$69+DCF!$C$70+DCF!$C$73)&gt;DCF!$C$75,(C68)/(DCF!$C$69+DCF!$C$70+DCF!$C$73),((C68)-DCF!$C$74)/(DCF!$C$69+DCF!$C$70)),((C68)-DCF!$C$74-DCF!$C$71)/DCF!$C$69)</f>
        <v>31.115131399249627</v>
      </c>
      <c r="D76" s="54">
        <f>IF(((D68)-DCF!$C$74)/(DCF!$C$69+DCF!$C$70)&gt;DCF!$C$72,IF((D68)/(DCF!$C$69+DCF!$C$70+DCF!$C$73)&gt;DCF!$C$75,(D68)/(DCF!$C$69+DCF!$C$70+DCF!$C$73),((D68)-DCF!$C$74)/(DCF!$C$69+DCF!$C$70)),((D68)-DCF!$C$74-DCF!$C$71)/DCF!$C$69)</f>
        <v>33.846369769899887</v>
      </c>
    </row>
    <row r="77" spans="1:10" x14ac:dyDescent="0.25">
      <c r="A77" s="10" t="s">
        <v>528</v>
      </c>
      <c r="C77" s="55" t="str">
        <f>IF((C68-DCF!$C$74)/(DCF!$C$69+DCF!$C$70)&gt;DCF!$C$72,IF(C68/(DCF!$C$69+DCF!$C$70+DCF!$C$73)&gt;DCF!$C$75,"A &amp; B converted","A converted; B as claim"),"A &amp; B as claims")</f>
        <v>A converted; B as claim</v>
      </c>
      <c r="D77" s="55" t="str">
        <f>IF((D68-DCF!$C$74)/(DCF!$C$69+DCF!$C$70)&gt;DCF!$C$72,IF(D68/(DCF!$C$69+DCF!$C$70+DCF!$C$73)&gt;DCF!$C$75,"A &amp; B converted","A converted; B as claim"),"A &amp; B as claims")</f>
        <v>A converted; B as claim</v>
      </c>
    </row>
    <row r="78" spans="1:10" x14ac:dyDescent="0.25">
      <c r="A78" s="10" t="s">
        <v>529</v>
      </c>
      <c r="C78" s="53">
        <f>'DCF Inputs'!$C$38</f>
        <v>28.36</v>
      </c>
      <c r="D78" s="41">
        <f>C78</f>
        <v>28.36</v>
      </c>
    </row>
    <row r="79" spans="1:10" x14ac:dyDescent="0.25">
      <c r="A79" s="3" t="s">
        <v>530</v>
      </c>
      <c r="C79" s="19">
        <f>C76/C78-1</f>
        <v>9.7148497857885374E-2</v>
      </c>
      <c r="D79" s="19">
        <f>D76/D78-1</f>
        <v>0.19345450528560959</v>
      </c>
    </row>
    <row r="80" spans="1:10" x14ac:dyDescent="0.25">
      <c r="A80" s="10" t="s">
        <v>531</v>
      </c>
      <c r="C80" s="56">
        <f>C64/Comps!$G$22</f>
        <v>12.893595061940685</v>
      </c>
      <c r="D80" s="56">
        <f>D64/Comps!$G$22</f>
        <v>13.947582683451076</v>
      </c>
    </row>
    <row r="81" spans="1:4" x14ac:dyDescent="0.25">
      <c r="A81" s="10" t="s">
        <v>532</v>
      </c>
      <c r="C81" s="52">
        <f>C64/E39</f>
        <v>11.353230268101813</v>
      </c>
      <c r="D81" s="52">
        <f>D64/E39</f>
        <v>12.281300686728354</v>
      </c>
    </row>
    <row r="83" spans="1:4" x14ac:dyDescent="0.25">
      <c r="A83" s="2" t="s">
        <v>533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P4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50" customWidth="1"/>
    <col min="2" max="10" width="12" customWidth="1"/>
    <col min="11" max="11" width="22" customWidth="1"/>
    <col min="12" max="16" width="10" customWidth="1"/>
  </cols>
  <sheetData>
    <row r="1" spans="1:16" ht="18" x14ac:dyDescent="0.25">
      <c r="A1" s="1" t="s">
        <v>534</v>
      </c>
    </row>
    <row r="2" spans="1:16" x14ac:dyDescent="0.25">
      <c r="A2" s="2" t="s">
        <v>535</v>
      </c>
    </row>
    <row r="3" spans="1:16" x14ac:dyDescent="0.25">
      <c r="A3" s="3" t="s">
        <v>2</v>
      </c>
      <c r="B3" s="4" t="str">
        <f>CHOOSE(Scenarios!$C$4,"Bull case","Base case","Bear case")</f>
        <v>Base case</v>
      </c>
    </row>
    <row r="5" spans="1:16" x14ac:dyDescent="0.25">
      <c r="A5" s="8" t="s">
        <v>536</v>
      </c>
      <c r="B5" s="9"/>
      <c r="C5" s="9"/>
      <c r="D5" s="9"/>
      <c r="E5" s="9"/>
      <c r="F5" s="9"/>
      <c r="G5" s="9"/>
      <c r="H5" s="9"/>
    </row>
    <row r="6" spans="1:16" x14ac:dyDescent="0.25">
      <c r="A6" s="2" t="s">
        <v>537</v>
      </c>
    </row>
    <row r="7" spans="1:16" x14ac:dyDescent="0.25">
      <c r="B7" s="3" t="s">
        <v>538</v>
      </c>
      <c r="C7" s="57">
        <f>DCF!$C$27+-0.01</f>
        <v>1.9999999999999997E-2</v>
      </c>
      <c r="D7" s="57">
        <f>DCF!$C$27+-0.005</f>
        <v>2.4999999999999998E-2</v>
      </c>
      <c r="E7" s="57">
        <f>DCF!$C$27+0</f>
        <v>0.03</v>
      </c>
      <c r="F7" s="57">
        <f>DCF!$C$27+0.005</f>
        <v>3.4999999999999996E-2</v>
      </c>
      <c r="G7" s="57">
        <f>DCF!$C$27+0.01</f>
        <v>0.04</v>
      </c>
      <c r="K7" s="2" t="s">
        <v>539</v>
      </c>
      <c r="L7" s="58">
        <f>C7</f>
        <v>1.9999999999999997E-2</v>
      </c>
      <c r="M7" s="58">
        <f>D7</f>
        <v>2.4999999999999998E-2</v>
      </c>
      <c r="N7" s="58">
        <f>E7</f>
        <v>0.03</v>
      </c>
      <c r="O7" s="58">
        <f>F7</f>
        <v>3.4999999999999996E-2</v>
      </c>
      <c r="P7" s="58">
        <f>G7</f>
        <v>0.04</v>
      </c>
    </row>
    <row r="8" spans="1:16" x14ac:dyDescent="0.25">
      <c r="B8" s="57">
        <f>ROUND(DCF!$C$26,3)+-0.015</f>
        <v>8.6999999999999994E-2</v>
      </c>
      <c r="C8" s="53">
        <f>IF((((L8*(1+$B8)^DCF!$C$8)+DCF!$C$65-DCF!$C$66-DCF!$C$67)-DCF!$C$74)/(DCF!$C$69+DCF!$C$70)&gt;DCF!$C$72,IF(((L8*(1+$B8)^DCF!$C$8)+DCF!$C$65-DCF!$C$66-DCF!$C$67)/(DCF!$C$69+DCF!$C$70+DCF!$C$73)&gt;DCF!$C$75,((L8*(1+$B8)^DCF!$C$8)+DCF!$C$65-DCF!$C$66-DCF!$C$67)/(DCF!$C$69+DCF!$C$70+DCF!$C$73),(((L8*(1+$B8)^DCF!$C$8)+DCF!$C$65-DCF!$C$66-DCF!$C$67)-DCF!$C$74)/(DCF!$C$69+DCF!$C$70)),(((L8*(1+$B8)^DCF!$C$8)+DCF!$C$65-DCF!$C$66-DCF!$C$67)-DCF!$C$74-DCF!$C$71)/DCF!$C$69)</f>
        <v>34.547995835182938</v>
      </c>
      <c r="D8" s="53">
        <f>IF((((M8*(1+$B8)^DCF!$C$8)+DCF!$C$65-DCF!$C$66-DCF!$C$67)-DCF!$C$74)/(DCF!$C$69+DCF!$C$70)&gt;DCF!$C$72,IF(((M8*(1+$B8)^DCF!$C$8)+DCF!$C$65-DCF!$C$66-DCF!$C$67)/(DCF!$C$69+DCF!$C$70+DCF!$C$73)&gt;DCF!$C$75,((M8*(1+$B8)^DCF!$C$8)+DCF!$C$65-DCF!$C$66-DCF!$C$67)/(DCF!$C$69+DCF!$C$70+DCF!$C$73),(((M8*(1+$B8)^DCF!$C$8)+DCF!$C$65-DCF!$C$66-DCF!$C$67)-DCF!$C$74)/(DCF!$C$69+DCF!$C$70)),(((M8*(1+$B8)^DCF!$C$8)+DCF!$C$65-DCF!$C$66-DCF!$C$67)-DCF!$C$74-DCF!$C$71)/DCF!$C$69)</f>
        <v>36.979958963267514</v>
      </c>
      <c r="E8" s="53">
        <f>IF((((N8*(1+$B8)^DCF!$C$8)+DCF!$C$65-DCF!$C$66-DCF!$C$67)-DCF!$C$74)/(DCF!$C$69+DCF!$C$70)&gt;DCF!$C$72,IF(((N8*(1+$B8)^DCF!$C$8)+DCF!$C$65-DCF!$C$66-DCF!$C$67)/(DCF!$C$69+DCF!$C$70+DCF!$C$73)&gt;DCF!$C$75,((N8*(1+$B8)^DCF!$C$8)+DCF!$C$65-DCF!$C$66-DCF!$C$67)/(DCF!$C$69+DCF!$C$70+DCF!$C$73),(((N8*(1+$B8)^DCF!$C$8)+DCF!$C$65-DCF!$C$66-DCF!$C$67)-DCF!$C$74)/(DCF!$C$69+DCF!$C$70)),(((N8*(1+$B8)^DCF!$C$8)+DCF!$C$65-DCF!$C$66-DCF!$C$67)-DCF!$C$74-DCF!$C$71)/DCF!$C$69)</f>
        <v>39.838582289261694</v>
      </c>
      <c r="F8" s="53">
        <f>IF((((O8*(1+$B8)^DCF!$C$8)+DCF!$C$65-DCF!$C$66-DCF!$C$67)-DCF!$C$74)/(DCF!$C$69+DCF!$C$70)&gt;DCF!$C$72,IF(((O8*(1+$B8)^DCF!$C$8)+DCF!$C$65-DCF!$C$66-DCF!$C$67)/(DCF!$C$69+DCF!$C$70+DCF!$C$73)&gt;DCF!$C$75,((O8*(1+$B8)^DCF!$C$8)+DCF!$C$65-DCF!$C$66-DCF!$C$67)/(DCF!$C$69+DCF!$C$70+DCF!$C$73),(((O8*(1+$B8)^DCF!$C$8)+DCF!$C$65-DCF!$C$66-DCF!$C$67)-DCF!$C$74)/(DCF!$C$69+DCF!$C$70)),(((O8*(1+$B8)^DCF!$C$8)+DCF!$C$65-DCF!$C$66-DCF!$C$67)-DCF!$C$74-DCF!$C$71)/DCF!$C$69)</f>
        <v>43.246940870254733</v>
      </c>
      <c r="G8" s="53">
        <f>IF((((P8*(1+$B8)^DCF!$C$8)+DCF!$C$65-DCF!$C$66-DCF!$C$67)-DCF!$C$74)/(DCF!$C$69+DCF!$C$70)&gt;DCF!$C$72,IF(((P8*(1+$B8)^DCF!$C$8)+DCF!$C$65-DCF!$C$66-DCF!$C$67)/(DCF!$C$69+DCF!$C$70+DCF!$C$73)&gt;DCF!$C$75,((P8*(1+$B8)^DCF!$C$8)+DCF!$C$65-DCF!$C$66-DCF!$C$67)/(DCF!$C$69+DCF!$C$70+DCF!$C$73),(((P8*(1+$B8)^DCF!$C$8)+DCF!$C$65-DCF!$C$66-DCF!$C$67)-DCF!$C$74)/(DCF!$C$69+DCF!$C$70)),(((P8*(1+$B8)^DCF!$C$8)+DCF!$C$65-DCF!$C$66-DCF!$C$67)-DCF!$C$74-DCF!$C$71)/DCF!$C$69)</f>
        <v>47.380482128054823</v>
      </c>
      <c r="K8" s="58">
        <f t="shared" ref="K8:K14" si="0">B8</f>
        <v>8.6999999999999994E-2</v>
      </c>
      <c r="L8" s="59">
        <f>SUMPRODUCT(DCF!$D$42:$H$42/(1+$B8)^DCF!$D$43:$H$43)+DCF!$H$40*(1+C$7)/($B8-C$7)/(1+$B8)^DCF!$C$53</f>
        <v>9983.3524434037517</v>
      </c>
      <c r="M8" s="59">
        <f>SUMPRODUCT(DCF!$D$42:$H$42/(1+$B8)^DCF!$D$43:$H$43)+DCF!$H$40*(1+D$7)/($B8-D$7)/(1+$B8)^DCF!$C$53</f>
        <v>10642.314445516726</v>
      </c>
      <c r="N8" s="59">
        <f>SUMPRODUCT(DCF!$D$42:$H$42/(1+$B8)^DCF!$D$43:$H$43)+DCF!$H$40*(1+E$7)/($B8-E$7)/(1+$B8)^DCF!$C$53</f>
        <v>11416.883816421456</v>
      </c>
      <c r="O8" s="59">
        <f>SUMPRODUCT(DCF!$D$42:$H$42/(1+$B8)^DCF!$D$43:$H$43)+DCF!$H$40*(1+F$7)/($B8-F$7)/(1+$B8)^DCF!$C$53</f>
        <v>12340.408835577091</v>
      </c>
      <c r="P8" s="59">
        <f>SUMPRODUCT(DCF!$D$42:$H$42/(1+$B8)^DCF!$D$43:$H$43)+DCF!$H$40*(1+G$7)/($B8-G$7)/(1+$B8)^DCF!$C$53</f>
        <v>13460.428539659461</v>
      </c>
    </row>
    <row r="9" spans="1:16" x14ac:dyDescent="0.25">
      <c r="B9" s="57">
        <f>ROUND(DCF!$C$26,3)+-0.01</f>
        <v>9.1999999999999998E-2</v>
      </c>
      <c r="C9" s="53">
        <f>IF((((L9*(1+$B9)^DCF!$C$8)+DCF!$C$65-DCF!$C$66-DCF!$C$67)-DCF!$C$74)/(DCF!$C$69+DCF!$C$70)&gt;DCF!$C$72,IF(((L9*(1+$B9)^DCF!$C$8)+DCF!$C$65-DCF!$C$66-DCF!$C$67)/(DCF!$C$69+DCF!$C$70+DCF!$C$73)&gt;DCF!$C$75,((L9*(1+$B9)^DCF!$C$8)+DCF!$C$65-DCF!$C$66-DCF!$C$67)/(DCF!$C$69+DCF!$C$70+DCF!$C$73),(((L9*(1+$B9)^DCF!$C$8)+DCF!$C$65-DCF!$C$66-DCF!$C$67)-DCF!$C$74)/(DCF!$C$69+DCF!$C$70)),(((L9*(1+$B9)^DCF!$C$8)+DCF!$C$65-DCF!$C$66-DCF!$C$67)-DCF!$C$74-DCF!$C$71)/DCF!$C$69)</f>
        <v>31.999280406963173</v>
      </c>
      <c r="D9" s="53">
        <f>IF((((M9*(1+$B9)^DCF!$C$8)+DCF!$C$65-DCF!$C$66-DCF!$C$67)-DCF!$C$74)/(DCF!$C$69+DCF!$C$70)&gt;DCF!$C$72,IF(((M9*(1+$B9)^DCF!$C$8)+DCF!$C$65-DCF!$C$66-DCF!$C$67)/(DCF!$C$69+DCF!$C$70+DCF!$C$73)&gt;DCF!$C$75,((M9*(1+$B9)^DCF!$C$8)+DCF!$C$65-DCF!$C$66-DCF!$C$67)/(DCF!$C$69+DCF!$C$70+DCF!$C$73),(((M9*(1+$B9)^DCF!$C$8)+DCF!$C$65-DCF!$C$66-DCF!$C$67)-DCF!$C$74)/(DCF!$C$69+DCF!$C$70)),(((M9*(1+$B9)^DCF!$C$8)+DCF!$C$65-DCF!$C$66-DCF!$C$67)-DCF!$C$74-DCF!$C$71)/DCF!$C$69)</f>
        <v>34.062824271742919</v>
      </c>
      <c r="E9" s="53">
        <f>IF((((N9*(1+$B9)^DCF!$C$8)+DCF!$C$65-DCF!$C$66-DCF!$C$67)-DCF!$C$74)/(DCF!$C$69+DCF!$C$70)&gt;DCF!$C$72,IF(((N9*(1+$B9)^DCF!$C$8)+DCF!$C$65-DCF!$C$66-DCF!$C$67)/(DCF!$C$69+DCF!$C$70+DCF!$C$73)&gt;DCF!$C$75,((N9*(1+$B9)^DCF!$C$8)+DCF!$C$65-DCF!$C$66-DCF!$C$67)/(DCF!$C$69+DCF!$C$70+DCF!$C$73),(((N9*(1+$B9)^DCF!$C$8)+DCF!$C$65-DCF!$C$66-DCF!$C$67)-DCF!$C$74)/(DCF!$C$69+DCF!$C$70)),(((N9*(1+$B9)^DCF!$C$8)+DCF!$C$65-DCF!$C$66-DCF!$C$67)-DCF!$C$74-DCF!$C$71)/DCF!$C$69)</f>
        <v>36.459197792132322</v>
      </c>
      <c r="F9" s="53">
        <f>IF((((O9*(1+$B9)^DCF!$C$8)+DCF!$C$65-DCF!$C$66-DCF!$C$67)-DCF!$C$74)/(DCF!$C$69+DCF!$C$70)&gt;DCF!$C$72,IF(((O9*(1+$B9)^DCF!$C$8)+DCF!$C$65-DCF!$C$66-DCF!$C$67)/(DCF!$C$69+DCF!$C$70+DCF!$C$73)&gt;DCF!$C$75,((O9*(1+$B9)^DCF!$C$8)+DCF!$C$65-DCF!$C$66-DCF!$C$67)/(DCF!$C$69+DCF!$C$70+DCF!$C$73),(((O9*(1+$B9)^DCF!$C$8)+DCF!$C$65-DCF!$C$66-DCF!$C$67)-DCF!$C$74)/(DCF!$C$69+DCF!$C$70)),(((O9*(1+$B9)^DCF!$C$8)+DCF!$C$65-DCF!$C$66-DCF!$C$67)-DCF!$C$74-DCF!$C$71)/DCF!$C$69)</f>
        <v>39.275987719607564</v>
      </c>
      <c r="G9" s="53">
        <f>IF((((P9*(1+$B9)^DCF!$C$8)+DCF!$C$65-DCF!$C$66-DCF!$C$67)-DCF!$C$74)/(DCF!$C$69+DCF!$C$70)&gt;DCF!$C$72,IF(((P9*(1+$B9)^DCF!$C$8)+DCF!$C$65-DCF!$C$66-DCF!$C$67)/(DCF!$C$69+DCF!$C$70+DCF!$C$73)&gt;DCF!$C$75,((P9*(1+$B9)^DCF!$C$8)+DCF!$C$65-DCF!$C$66-DCF!$C$67)/(DCF!$C$69+DCF!$C$70+DCF!$C$73),(((P9*(1+$B9)^DCF!$C$8)+DCF!$C$65-DCF!$C$66-DCF!$C$67)-DCF!$C$74)/(DCF!$C$69+DCF!$C$70)),(((P9*(1+$B9)^DCF!$C$8)+DCF!$C$65-DCF!$C$66-DCF!$C$67)-DCF!$C$74-DCF!$C$71)/DCF!$C$69)</f>
        <v>42.634468017751132</v>
      </c>
      <c r="K9" s="58">
        <f t="shared" si="0"/>
        <v>9.1999999999999998E-2</v>
      </c>
      <c r="L9" s="59">
        <f>SUMPRODUCT(DCF!$D$42:$H$42/(1+$B9)^DCF!$D$43:$H$43)+DCF!$H$40*(1+C$7)/($B9-C$7)/(1+$B9)^DCF!$C$53</f>
        <v>9280.4951613474841</v>
      </c>
      <c r="M9" s="59">
        <f>SUMPRODUCT(DCF!$D$42:$H$42/(1+$B9)^DCF!$D$43:$H$43)+DCF!$H$40*(1+D$7)/($B9-D$7)/(1+$B9)^DCF!$C$53</f>
        <v>9838.8930089198911</v>
      </c>
      <c r="N9" s="59">
        <f>SUMPRODUCT(DCF!$D$42:$H$42/(1+$B9)^DCF!$D$43:$H$43)+DCF!$H$40*(1+E$7)/($B9-E$7)/(1+$B9)^DCF!$C$53</f>
        <v>10487.355025455592</v>
      </c>
      <c r="O9" s="59">
        <f>SUMPRODUCT(DCF!$D$42:$H$42/(1+$B9)^DCF!$D$43:$H$43)+DCF!$H$40*(1+F$7)/($B9-F$7)/(1+$B9)^DCF!$C$53</f>
        <v>11249.582308050183</v>
      </c>
      <c r="P9" s="59">
        <f>SUMPRODUCT(DCF!$D$42:$H$42/(1+$B9)^DCF!$D$43:$H$43)+DCF!$H$40*(1+G$7)/($B9-G$7)/(1+$B9)^DCF!$C$53</f>
        <v>12158.391760374507</v>
      </c>
    </row>
    <row r="10" spans="1:16" x14ac:dyDescent="0.25">
      <c r="B10" s="57">
        <f>ROUND(DCF!$C$26,3)+-0.005</f>
        <v>9.6999999999999989E-2</v>
      </c>
      <c r="C10" s="53">
        <f>IF((((L10*(1+$B10)^DCF!$C$8)+DCF!$C$65-DCF!$C$66-DCF!$C$67)-DCF!$C$74)/(DCF!$C$69+DCF!$C$70)&gt;DCF!$C$72,IF(((L10*(1+$B10)^DCF!$C$8)+DCF!$C$65-DCF!$C$66-DCF!$C$67)/(DCF!$C$69+DCF!$C$70+DCF!$C$73)&gt;DCF!$C$75,((L10*(1+$B10)^DCF!$C$8)+DCF!$C$65-DCF!$C$66-DCF!$C$67)/(DCF!$C$69+DCF!$C$70+DCF!$C$73),(((L10*(1+$B10)^DCF!$C$8)+DCF!$C$65-DCF!$C$66-DCF!$C$67)-DCF!$C$74)/(DCF!$C$69+DCF!$C$70)),(((L10*(1+$B10)^DCF!$C$8)+DCF!$C$65-DCF!$C$66-DCF!$C$67)-DCF!$C$74-DCF!$C$71)/DCF!$C$69)</f>
        <v>29.783725676753619</v>
      </c>
      <c r="D10" s="53">
        <f>IF((((M10*(1+$B10)^DCF!$C$8)+DCF!$C$65-DCF!$C$66-DCF!$C$67)-DCF!$C$74)/(DCF!$C$69+DCF!$C$70)&gt;DCF!$C$72,IF(((M10*(1+$B10)^DCF!$C$8)+DCF!$C$65-DCF!$C$66-DCF!$C$67)/(DCF!$C$69+DCF!$C$70+DCF!$C$73)&gt;DCF!$C$75,((M10*(1+$B10)^DCF!$C$8)+DCF!$C$65-DCF!$C$66-DCF!$C$67)/(DCF!$C$69+DCF!$C$70+DCF!$C$73),(((M10*(1+$B10)^DCF!$C$8)+DCF!$C$65-DCF!$C$66-DCF!$C$67)-DCF!$C$74)/(DCF!$C$69+DCF!$C$70)),(((M10*(1+$B10)^DCF!$C$8)+DCF!$C$65-DCF!$C$66-DCF!$C$67)-DCF!$C$74-DCF!$C$71)/DCF!$C$69)</f>
        <v>31.553119704435385</v>
      </c>
      <c r="E10" s="53">
        <f>IF((((N10*(1+$B10)^DCF!$C$8)+DCF!$C$65-DCF!$C$66-DCF!$C$67)-DCF!$C$74)/(DCF!$C$69+DCF!$C$70)&gt;DCF!$C$72,IF(((N10*(1+$B10)^DCF!$C$8)+DCF!$C$65-DCF!$C$66-DCF!$C$67)/(DCF!$C$69+DCF!$C$70+DCF!$C$73)&gt;DCF!$C$75,((N10*(1+$B10)^DCF!$C$8)+DCF!$C$65-DCF!$C$66-DCF!$C$67)/(DCF!$C$69+DCF!$C$70+DCF!$C$73),(((N10*(1+$B10)^DCF!$C$8)+DCF!$C$65-DCF!$C$66-DCF!$C$67)-DCF!$C$74)/(DCF!$C$69+DCF!$C$70)),(((N10*(1+$B10)^DCF!$C$8)+DCF!$C$65-DCF!$C$66-DCF!$C$67)-DCF!$C$74-DCF!$C$71)/DCF!$C$69)</f>
        <v>33.58660239296519</v>
      </c>
      <c r="F10" s="53">
        <f>IF((((O10*(1+$B10)^DCF!$C$8)+DCF!$C$65-DCF!$C$66-DCF!$C$67)-DCF!$C$74)/(DCF!$C$69+DCF!$C$70)&gt;DCF!$C$72,IF(((O10*(1+$B10)^DCF!$C$8)+DCF!$C$65-DCF!$C$66-DCF!$C$67)/(DCF!$C$69+DCF!$C$70+DCF!$C$73)&gt;DCF!$C$75,((O10*(1+$B10)^DCF!$C$8)+DCF!$C$65-DCF!$C$66-DCF!$C$67)/(DCF!$C$69+DCF!$C$70+DCF!$C$73),(((O10*(1+$B10)^DCF!$C$8)+DCF!$C$65-DCF!$C$66-DCF!$C$67)-DCF!$C$74)/(DCF!$C$69+DCF!$C$70)),(((O10*(1+$B10)^DCF!$C$8)+DCF!$C$65-DCF!$C$66-DCF!$C$67)-DCF!$C$74-DCF!$C$71)/DCF!$C$69)</f>
        <v>35.948066160290118</v>
      </c>
      <c r="G10" s="53">
        <f>IF((((P10*(1+$B10)^DCF!$C$8)+DCF!$C$65-DCF!$C$66-DCF!$C$67)-DCF!$C$74)/(DCF!$C$69+DCF!$C$70)&gt;DCF!$C$72,IF(((P10*(1+$B10)^DCF!$C$8)+DCF!$C$65-DCF!$C$66-DCF!$C$67)/(DCF!$C$69+DCF!$C$70+DCF!$C$73)&gt;DCF!$C$75,((P10*(1+$B10)^DCF!$C$8)+DCF!$C$65-DCF!$C$66-DCF!$C$67)/(DCF!$C$69+DCF!$C$70+DCF!$C$73),(((P10*(1+$B10)^DCF!$C$8)+DCF!$C$65-DCF!$C$66-DCF!$C$67)-DCF!$C$74)/(DCF!$C$69+DCF!$C$70)),(((P10*(1+$B10)^DCF!$C$8)+DCF!$C$65-DCF!$C$66-DCF!$C$67)-DCF!$C$74-DCF!$C$71)/DCF!$C$69)</f>
        <v>38.723821816619427</v>
      </c>
      <c r="K10" s="58">
        <f t="shared" si="0"/>
        <v>9.6999999999999989E-2</v>
      </c>
      <c r="L10" s="59">
        <f>SUMPRODUCT(DCF!$D$42:$H$42/(1+$B10)^DCF!$D$43:$H$43)+DCF!$H$40*(1+C$7)/($B10-C$7)/(1+$B10)^DCF!$C$53</f>
        <v>8669.5621965804676</v>
      </c>
      <c r="M10" s="59">
        <f>SUMPRODUCT(DCF!$D$42:$H$42/(1+$B10)^DCF!$D$43:$H$43)+DCF!$H$40*(1+D$7)/($B10-D$7)/(1+$B10)^DCF!$C$53</f>
        <v>9147.7338762266336</v>
      </c>
      <c r="N10" s="59">
        <f>SUMPRODUCT(DCF!$D$42:$H$42/(1+$B10)^DCF!$D$43:$H$43)+DCF!$H$40*(1+E$7)/($B10-E$7)/(1+$B10)^DCF!$C$53</f>
        <v>9697.2744632826762</v>
      </c>
      <c r="O10" s="59">
        <f>SUMPRODUCT(DCF!$D$42:$H$42/(1+$B10)^DCF!$D$43:$H$43)+DCF!$H$40*(1+F$7)/($B10-F$7)/(1+$B10)^DCF!$C$53</f>
        <v>10335.450628896146</v>
      </c>
      <c r="P10" s="59">
        <f>SUMPRODUCT(DCF!$D$42:$H$42/(1+$B10)^DCF!$D$43:$H$43)+DCF!$H$40*(1+G$7)/($B10-G$7)/(1+$B10)^DCF!$C$53</f>
        <v>11085.587525318995</v>
      </c>
    </row>
    <row r="11" spans="1:16" x14ac:dyDescent="0.25">
      <c r="B11" s="57">
        <f>ROUND(DCF!$C$26,3)+0</f>
        <v>0.10199999999999999</v>
      </c>
      <c r="C11" s="53">
        <f>IF((((L11*(1+$B11)^DCF!$C$8)+DCF!$C$65-DCF!$C$66-DCF!$C$67)-DCF!$C$74)/(DCF!$C$69+DCF!$C$70)&gt;DCF!$C$72,IF(((L11*(1+$B11)^DCF!$C$8)+DCF!$C$65-DCF!$C$66-DCF!$C$67)/(DCF!$C$69+DCF!$C$70+DCF!$C$73)&gt;DCF!$C$75,((L11*(1+$B11)^DCF!$C$8)+DCF!$C$65-DCF!$C$66-DCF!$C$67)/(DCF!$C$69+DCF!$C$70+DCF!$C$73),(((L11*(1+$B11)^DCF!$C$8)+DCF!$C$65-DCF!$C$66-DCF!$C$67)-DCF!$C$74)/(DCF!$C$69+DCF!$C$70)),(((L11*(1+$B11)^DCF!$C$8)+DCF!$C$65-DCF!$C$66-DCF!$C$67)-DCF!$C$74-DCF!$C$71)/DCF!$C$69)</f>
        <v>27.840313297010464</v>
      </c>
      <c r="D11" s="53">
        <f>IF((((M11*(1+$B11)^DCF!$C$8)+DCF!$C$65-DCF!$C$66-DCF!$C$67)-DCF!$C$74)/(DCF!$C$69+DCF!$C$70)&gt;DCF!$C$72,IF(((M11*(1+$B11)^DCF!$C$8)+DCF!$C$65-DCF!$C$66-DCF!$C$67)/(DCF!$C$69+DCF!$C$70+DCF!$C$73)&gt;DCF!$C$75,((M11*(1+$B11)^DCF!$C$8)+DCF!$C$65-DCF!$C$66-DCF!$C$67)/(DCF!$C$69+DCF!$C$70+DCF!$C$73),(((M11*(1+$B11)^DCF!$C$8)+DCF!$C$65-DCF!$C$66-DCF!$C$67)-DCF!$C$74)/(DCF!$C$69+DCF!$C$70)),(((M11*(1+$B11)^DCF!$C$8)+DCF!$C$65-DCF!$C$66-DCF!$C$67)-DCF!$C$74-DCF!$C$71)/DCF!$C$69)</f>
        <v>29.371397085070331</v>
      </c>
      <c r="E11" s="60">
        <f>IF((((N11*(1+$B11)^DCF!$C$8)+DCF!$C$65-DCF!$C$66-DCF!$C$67)-DCF!$C$74)/(DCF!$C$69+DCF!$C$70)&gt;DCF!$C$72,IF(((N11*(1+$B11)^DCF!$C$8)+DCF!$C$65-DCF!$C$66-DCF!$C$67)/(DCF!$C$69+DCF!$C$70+DCF!$C$73)&gt;DCF!$C$75,((N11*(1+$B11)^DCF!$C$8)+DCF!$C$65-DCF!$C$66-DCF!$C$67)/(DCF!$C$69+DCF!$C$70+DCF!$C$73),(((N11*(1+$B11)^DCF!$C$8)+DCF!$C$65-DCF!$C$66-DCF!$C$67)-DCF!$C$74)/(DCF!$C$69+DCF!$C$70)),(((N11*(1+$B11)^DCF!$C$8)+DCF!$C$65-DCF!$C$66-DCF!$C$67)-DCF!$C$74-DCF!$C$71)/DCF!$C$69)</f>
        <v>31.115131399249627</v>
      </c>
      <c r="F11" s="53">
        <f>IF((((O11*(1+$B11)^DCF!$C$8)+DCF!$C$65-DCF!$C$66-DCF!$C$67)-DCF!$C$74)/(DCF!$C$69+DCF!$C$70)&gt;DCF!$C$72,IF(((O11*(1+$B11)^DCF!$C$8)+DCF!$C$65-DCF!$C$66-DCF!$C$67)/(DCF!$C$69+DCF!$C$70+DCF!$C$73)&gt;DCF!$C$75,((O11*(1+$B11)^DCF!$C$8)+DCF!$C$65-DCF!$C$66-DCF!$C$67)/(DCF!$C$69+DCF!$C$70+DCF!$C$73),(((O11*(1+$B11)^DCF!$C$8)+DCF!$C$65-DCF!$C$66-DCF!$C$67)-DCF!$C$74)/(DCF!$C$69+DCF!$C$70)),(((O11*(1+$B11)^DCF!$C$8)+DCF!$C$65-DCF!$C$66-DCF!$C$67)-DCF!$C$74-DCF!$C$71)/DCF!$C$69)</f>
        <v>33.119124566291489</v>
      </c>
      <c r="G11" s="53">
        <f>IF((((P11*(1+$B11)^DCF!$C$8)+DCF!$C$65-DCF!$C$66-DCF!$C$67)-DCF!$C$74)/(DCF!$C$69+DCF!$C$70)&gt;DCF!$C$72,IF(((P11*(1+$B11)^DCF!$C$8)+DCF!$C$65-DCF!$C$66-DCF!$C$67)/(DCF!$C$69+DCF!$C$70+DCF!$C$73)&gt;DCF!$C$75,((P11*(1+$B11)^DCF!$C$8)+DCF!$C$65-DCF!$C$66-DCF!$C$67)/(DCF!$C$69+DCF!$C$70+DCF!$C$73),(((P11*(1+$B11)^DCF!$C$8)+DCF!$C$65-DCF!$C$66-DCF!$C$67)-DCF!$C$74)/(DCF!$C$69+DCF!$C$70)),(((P11*(1+$B11)^DCF!$C$8)+DCF!$C$65-DCF!$C$66-DCF!$C$67)-DCF!$C$74-DCF!$C$71)/DCF!$C$69)</f>
        <v>35.446342437694966</v>
      </c>
      <c r="K11" s="58">
        <f t="shared" si="0"/>
        <v>0.10199999999999999</v>
      </c>
      <c r="L11" s="59">
        <f>SUMPRODUCT(DCF!$D$42:$H$42/(1+$B11)^DCF!$D$43:$H$43)+DCF!$H$40*(1+C$7)/($B11-C$7)/(1+$B11)^DCF!$C$53</f>
        <v>8133.7153156477107</v>
      </c>
      <c r="M11" s="59">
        <f>SUMPRODUCT(DCF!$D$42:$H$42/(1+$B11)^DCF!$D$43:$H$43)+DCF!$H$40*(1+D$7)/($B11-D$7)/(1+$B11)^DCF!$C$53</f>
        <v>8546.94366706664</v>
      </c>
      <c r="N11" s="59">
        <f>SUMPRODUCT(DCF!$D$42:$H$42/(1+$B11)^DCF!$D$43:$H$43)+DCF!$H$40*(1+E$7)/($B11-E$7)/(1+$B11)^DCF!$C$53</f>
        <v>9017.5648450715344</v>
      </c>
      <c r="O11" s="59">
        <f>SUMPRODUCT(DCF!$D$42:$H$42/(1+$B11)^DCF!$D$43:$H$43)+DCF!$H$40*(1+F$7)/($B11-F$7)/(1+$B11)^DCF!$C$53</f>
        <v>9558.4279899428275</v>
      </c>
      <c r="P11" s="59">
        <f>SUMPRODUCT(DCF!$D$42:$H$42/(1+$B11)^DCF!$D$43:$H$43)+DCF!$H$40*(1+G$7)/($B11-G$7)/(1+$B11)^DCF!$C$53</f>
        <v>10186.527125922399</v>
      </c>
    </row>
    <row r="12" spans="1:16" x14ac:dyDescent="0.25">
      <c r="B12" s="57">
        <f>ROUND(DCF!$C$26,3)+0.005</f>
        <v>0.107</v>
      </c>
      <c r="C12" s="53">
        <f>IF((((L12*(1+$B12)^DCF!$C$8)+DCF!$C$65-DCF!$C$66-DCF!$C$67)-DCF!$C$74)/(DCF!$C$69+DCF!$C$70)&gt;DCF!$C$72,IF(((L12*(1+$B12)^DCF!$C$8)+DCF!$C$65-DCF!$C$66-DCF!$C$67)/(DCF!$C$69+DCF!$C$70+DCF!$C$73)&gt;DCF!$C$75,((L12*(1+$B12)^DCF!$C$8)+DCF!$C$65-DCF!$C$66-DCF!$C$67)/(DCF!$C$69+DCF!$C$70+DCF!$C$73),(((L12*(1+$B12)^DCF!$C$8)+DCF!$C$65-DCF!$C$66-DCF!$C$67)-DCF!$C$74)/(DCF!$C$69+DCF!$C$70)),(((L12*(1+$B12)^DCF!$C$8)+DCF!$C$65-DCF!$C$66-DCF!$C$67)-DCF!$C$74-DCF!$C$71)/DCF!$C$69)</f>
        <v>26.122054812477298</v>
      </c>
      <c r="D12" s="53">
        <f>IF((((M12*(1+$B12)^DCF!$C$8)+DCF!$C$65-DCF!$C$66-DCF!$C$67)-DCF!$C$74)/(DCF!$C$69+DCF!$C$70)&gt;DCF!$C$72,IF(((M12*(1+$B12)^DCF!$C$8)+DCF!$C$65-DCF!$C$66-DCF!$C$67)/(DCF!$C$69+DCF!$C$70+DCF!$C$73)&gt;DCF!$C$75,((M12*(1+$B12)^DCF!$C$8)+DCF!$C$65-DCF!$C$66-DCF!$C$67)/(DCF!$C$69+DCF!$C$70+DCF!$C$73),(((M12*(1+$B12)^DCF!$C$8)+DCF!$C$65-DCF!$C$66-DCF!$C$67)-DCF!$C$74)/(DCF!$C$69+DCF!$C$70)),(((M12*(1+$B12)^DCF!$C$8)+DCF!$C$65-DCF!$C$66-DCF!$C$67)-DCF!$C$74-DCF!$C$71)/DCF!$C$69)</f>
        <v>27.45758868554713</v>
      </c>
      <c r="E12" s="53">
        <f>IF((((N12*(1+$B12)^DCF!$C$8)+DCF!$C$65-DCF!$C$66-DCF!$C$67)-DCF!$C$74)/(DCF!$C$69+DCF!$C$70)&gt;DCF!$C$72,IF(((N12*(1+$B12)^DCF!$C$8)+DCF!$C$65-DCF!$C$66-DCF!$C$67)/(DCF!$C$69+DCF!$C$70+DCF!$C$73)&gt;DCF!$C$75,((N12*(1+$B12)^DCF!$C$8)+DCF!$C$65-DCF!$C$66-DCF!$C$67)/(DCF!$C$69+DCF!$C$70+DCF!$C$73),(((N12*(1+$B12)^DCF!$C$8)+DCF!$C$65-DCF!$C$66-DCF!$C$67)-DCF!$C$74)/(DCF!$C$69+DCF!$C$70)),(((N12*(1+$B12)^DCF!$C$8)+DCF!$C$65-DCF!$C$66-DCF!$C$67)-DCF!$C$74-DCF!$C$71)/DCF!$C$69)</f>
        <v>28.966568516158517</v>
      </c>
      <c r="F12" s="53">
        <f>IF((((O12*(1+$B12)^DCF!$C$8)+DCF!$C$65-DCF!$C$66-DCF!$C$67)-DCF!$C$74)/(DCF!$C$69+DCF!$C$70)&gt;DCF!$C$72,IF(((O12*(1+$B12)^DCF!$C$8)+DCF!$C$65-DCF!$C$66-DCF!$C$67)/(DCF!$C$69+DCF!$C$70+DCF!$C$73)&gt;DCF!$C$75,((O12*(1+$B12)^DCF!$C$8)+DCF!$C$65-DCF!$C$66-DCF!$C$67)/(DCF!$C$69+DCF!$C$70+DCF!$C$73),(((O12*(1+$B12)^DCF!$C$8)+DCF!$C$65-DCF!$C$66-DCF!$C$67)-DCF!$C$74)/(DCF!$C$69+DCF!$C$70)),(((O12*(1+$B12)^DCF!$C$8)+DCF!$C$65-DCF!$C$66-DCF!$C$67)-DCF!$C$74-DCF!$C$71)/DCF!$C$69)</f>
        <v>30.685128878799254</v>
      </c>
      <c r="G12" s="53">
        <f>IF((((P12*(1+$B12)^DCF!$C$8)+DCF!$C$65-DCF!$C$66-DCF!$C$67)-DCF!$C$74)/(DCF!$C$69+DCF!$C$70)&gt;DCF!$C$72,IF(((P12*(1+$B12)^DCF!$C$8)+DCF!$C$65-DCF!$C$66-DCF!$C$67)/(DCF!$C$69+DCF!$C$70+DCF!$C$73)&gt;DCF!$C$75,((P12*(1+$B12)^DCF!$C$8)+DCF!$C$65-DCF!$C$66-DCF!$C$67)/(DCF!$C$69+DCF!$C$70+DCF!$C$73),(((P12*(1+$B12)^DCF!$C$8)+DCF!$C$65-DCF!$C$66-DCF!$C$67)-DCF!$C$74)/(DCF!$C$69+DCF!$C$70)),(((P12*(1+$B12)^DCF!$C$8)+DCF!$C$65-DCF!$C$66-DCF!$C$67)-DCF!$C$74-DCF!$C$71)/DCF!$C$69)</f>
        <v>32.66019078810281</v>
      </c>
      <c r="K12" s="58">
        <f t="shared" si="0"/>
        <v>0.107</v>
      </c>
      <c r="L12" s="59">
        <f>SUMPRODUCT(DCF!$D$42:$H$42/(1+$B12)^DCF!$D$43:$H$43)+DCF!$H$40*(1+C$7)/($B12-C$7)/(1+$B12)^DCF!$C$53</f>
        <v>7659.9879978559165</v>
      </c>
      <c r="M12" s="59">
        <f>SUMPRODUCT(DCF!$D$42:$H$42/(1+$B12)^DCF!$D$43:$H$43)+DCF!$H$40*(1+D$7)/($B12-D$7)/(1+$B12)^DCF!$C$53</f>
        <v>8019.9697536735857</v>
      </c>
      <c r="N12" s="59">
        <f>SUMPRODUCT(DCF!$D$42:$H$42/(1+$B12)^DCF!$D$43:$H$43)+DCF!$H$40*(1+E$7)/($B12-E$7)/(1+$B12)^DCF!$C$53</f>
        <v>8426.7023868701781</v>
      </c>
      <c r="O12" s="59">
        <f>SUMPRODUCT(DCF!$D$42:$H$42/(1+$B12)^DCF!$D$43:$H$43)+DCF!$H$40*(1+F$7)/($B12-F$7)/(1+$B12)^DCF!$C$53</f>
        <v>8889.9256635662932</v>
      </c>
      <c r="P12" s="59">
        <f>SUMPRODUCT(DCF!$D$42:$H$42/(1+$B12)^DCF!$D$43:$H$43)+DCF!$H$40*(1+G$7)/($B12-G$7)/(1+$B12)^DCF!$C$53</f>
        <v>9422.2867427543715</v>
      </c>
    </row>
    <row r="13" spans="1:16" x14ac:dyDescent="0.25">
      <c r="B13" s="57">
        <f>ROUND(DCF!$C$26,3)+0.01</f>
        <v>0.11199999999999999</v>
      </c>
      <c r="C13" s="53">
        <f>IF((((L13*(1+$B13)^DCF!$C$8)+DCF!$C$65-DCF!$C$66-DCF!$C$67)-DCF!$C$74)/(DCF!$C$69+DCF!$C$70)&gt;DCF!$C$72,IF(((L13*(1+$B13)^DCF!$C$8)+DCF!$C$65-DCF!$C$66-DCF!$C$67)/(DCF!$C$69+DCF!$C$70+DCF!$C$73)&gt;DCF!$C$75,((L13*(1+$B13)^DCF!$C$8)+DCF!$C$65-DCF!$C$66-DCF!$C$67)/(DCF!$C$69+DCF!$C$70+DCF!$C$73),(((L13*(1+$B13)^DCF!$C$8)+DCF!$C$65-DCF!$C$66-DCF!$C$67)-DCF!$C$74)/(DCF!$C$69+DCF!$C$70)),(((L13*(1+$B13)^DCF!$C$8)+DCF!$C$65-DCF!$C$66-DCF!$C$67)-DCF!$C$74-DCF!$C$71)/DCF!$C$69)</f>
        <v>24.557068885650196</v>
      </c>
      <c r="D13" s="53">
        <f>IF((((M13*(1+$B13)^DCF!$C$8)+DCF!$C$65-DCF!$C$66-DCF!$C$67)-DCF!$C$74)/(DCF!$C$69+DCF!$C$70)&gt;DCF!$C$72,IF(((M13*(1+$B13)^DCF!$C$8)+DCF!$C$65-DCF!$C$66-DCF!$C$67)/(DCF!$C$69+DCF!$C$70+DCF!$C$73)&gt;DCF!$C$75,((M13*(1+$B13)^DCF!$C$8)+DCF!$C$65-DCF!$C$66-DCF!$C$67)/(DCF!$C$69+DCF!$C$70+DCF!$C$73),(((M13*(1+$B13)^DCF!$C$8)+DCF!$C$65-DCF!$C$66-DCF!$C$67)-DCF!$C$74)/(DCF!$C$69+DCF!$C$70)),(((M13*(1+$B13)^DCF!$C$8)+DCF!$C$65-DCF!$C$66-DCF!$C$67)-DCF!$C$74-DCF!$C$71)/DCF!$C$69)</f>
        <v>25.765438020354512</v>
      </c>
      <c r="E13" s="53">
        <f>IF((((N13*(1+$B13)^DCF!$C$8)+DCF!$C$65-DCF!$C$66-DCF!$C$67)-DCF!$C$74)/(DCF!$C$69+DCF!$C$70)&gt;DCF!$C$72,IF(((N13*(1+$B13)^DCF!$C$8)+DCF!$C$65-DCF!$C$66-DCF!$C$67)/(DCF!$C$69+DCF!$C$70+DCF!$C$73)&gt;DCF!$C$75,((N13*(1+$B13)^DCF!$C$8)+DCF!$C$65-DCF!$C$66-DCF!$C$67)/(DCF!$C$69+DCF!$C$70+DCF!$C$73),(((N13*(1+$B13)^DCF!$C$8)+DCF!$C$65-DCF!$C$66-DCF!$C$67)-DCF!$C$74)/(DCF!$C$69+DCF!$C$70)),(((N13*(1+$B13)^DCF!$C$8)+DCF!$C$65-DCF!$C$66-DCF!$C$67)-DCF!$C$74-DCF!$C$71)/DCF!$C$69)</f>
        <v>27.081777314535483</v>
      </c>
      <c r="F13" s="53">
        <f>IF((((O13*(1+$B13)^DCF!$C$8)+DCF!$C$65-DCF!$C$66-DCF!$C$67)-DCF!$C$74)/(DCF!$C$69+DCF!$C$70)&gt;DCF!$C$72,IF(((O13*(1+$B13)^DCF!$C$8)+DCF!$C$65-DCF!$C$66-DCF!$C$67)/(DCF!$C$69+DCF!$C$70+DCF!$C$73)&gt;DCF!$C$75,((O13*(1+$B13)^DCF!$C$8)+DCF!$C$65-DCF!$C$66-DCF!$C$67)/(DCF!$C$69+DCF!$C$70+DCF!$C$73),(((O13*(1+$B13)^DCF!$C$8)+DCF!$C$65-DCF!$C$66-DCF!$C$67)-DCF!$C$74)/(DCF!$C$69+DCF!$C$70)),(((O13*(1+$B13)^DCF!$C$8)+DCF!$C$65-DCF!$C$66-DCF!$C$67)-DCF!$C$74-DCF!$C$71)/DCF!$C$69)</f>
        <v>28.569069763804897</v>
      </c>
      <c r="G13" s="53">
        <f>IF((((P13*(1+$B13)^DCF!$C$8)+DCF!$C$65-DCF!$C$66-DCF!$C$67)-DCF!$C$74)/(DCF!$C$69+DCF!$C$70)&gt;DCF!$C$72,IF(((P13*(1+$B13)^DCF!$C$8)+DCF!$C$65-DCF!$C$66-DCF!$C$67)/(DCF!$C$69+DCF!$C$70+DCF!$C$73)&gt;DCF!$C$75,((P13*(1+$B13)^DCF!$C$8)+DCF!$C$65-DCF!$C$66-DCF!$C$67)/(DCF!$C$69+DCF!$C$70+DCF!$C$73),(((P13*(1+$B13)^DCF!$C$8)+DCF!$C$65-DCF!$C$66-DCF!$C$67)-DCF!$C$74)/(DCF!$C$69+DCF!$C$70)),(((P13*(1+$B13)^DCF!$C$8)+DCF!$C$65-DCF!$C$66-DCF!$C$67)-DCF!$C$74-DCF!$C$71)/DCF!$C$69)</f>
        <v>30.26293060880618</v>
      </c>
      <c r="K13" s="58">
        <f t="shared" si="0"/>
        <v>0.11199999999999999</v>
      </c>
      <c r="L13" s="59">
        <f>SUMPRODUCT(DCF!$D$42:$H$42/(1+$B13)^DCF!$D$43:$H$43)+DCF!$H$40*(1+C$7)/($B13-C$7)/(1+$B13)^DCF!$C$53</f>
        <v>7238.2333047671682</v>
      </c>
      <c r="M13" s="59">
        <f>SUMPRODUCT(DCF!$D$42:$H$42/(1+$B13)^DCF!$D$43:$H$43)+DCF!$H$40*(1+D$7)/($B13-D$7)/(1+$B13)^DCF!$C$53</f>
        <v>7554.065525248503</v>
      </c>
      <c r="N13" s="59">
        <f>SUMPRODUCT(DCF!$D$42:$H$42/(1+$B13)^DCF!$D$43:$H$43)+DCF!$H$40*(1+E$7)/($B13-E$7)/(1+$B13)^DCF!$C$53</f>
        <v>7908.4138701787824</v>
      </c>
      <c r="O13" s="59">
        <f>SUMPRODUCT(DCF!$D$42:$H$42/(1+$B13)^DCF!$D$43:$H$43)+DCF!$H$40*(1+F$7)/($B13-F$7)/(1+$B13)^DCF!$C$53</f>
        <v>8308.7814806844235</v>
      </c>
      <c r="P13" s="59">
        <f>SUMPRODUCT(DCF!$D$42:$H$42/(1+$B13)^DCF!$D$43:$H$43)+DCF!$H$40*(1+G$7)/($B13-G$7)/(1+$B13)^DCF!$C$53</f>
        <v>8764.7557037602928</v>
      </c>
    </row>
    <row r="14" spans="1:16" x14ac:dyDescent="0.25">
      <c r="B14" s="57">
        <f>ROUND(DCF!$C$26,3)+0.015</f>
        <v>0.11699999999999999</v>
      </c>
      <c r="C14" s="53">
        <f>IF((((L14*(1+$B14)^DCF!$C$8)+DCF!$C$65-DCF!$C$66-DCF!$C$67)-DCF!$C$74)/(DCF!$C$69+DCF!$C$70)&gt;DCF!$C$72,IF(((L14*(1+$B14)^DCF!$C$8)+DCF!$C$65-DCF!$C$66-DCF!$C$67)/(DCF!$C$69+DCF!$C$70+DCF!$C$73)&gt;DCF!$C$75,((L14*(1+$B14)^DCF!$C$8)+DCF!$C$65-DCF!$C$66-DCF!$C$67)/(DCF!$C$69+DCF!$C$70+DCF!$C$73),(((L14*(1+$B14)^DCF!$C$8)+DCF!$C$65-DCF!$C$66-DCF!$C$67)-DCF!$C$74)/(DCF!$C$69+DCF!$C$70)),(((L14*(1+$B14)^DCF!$C$8)+DCF!$C$65-DCF!$C$66-DCF!$C$67)-DCF!$C$74-DCF!$C$71)/DCF!$C$69)</f>
        <v>23.06838379555542</v>
      </c>
      <c r="D14" s="53">
        <f>IF((((M14*(1+$B14)^DCF!$C$8)+DCF!$C$65-DCF!$C$66-DCF!$C$67)-DCF!$C$74)/(DCF!$C$69+DCF!$C$70)&gt;DCF!$C$72,IF(((M14*(1+$B14)^DCF!$C$8)+DCF!$C$65-DCF!$C$66-DCF!$C$67)/(DCF!$C$69+DCF!$C$70+DCF!$C$73)&gt;DCF!$C$75,((M14*(1+$B14)^DCF!$C$8)+DCF!$C$65-DCF!$C$66-DCF!$C$67)/(DCF!$C$69+DCF!$C$70+DCF!$C$73),(((M14*(1+$B14)^DCF!$C$8)+DCF!$C$65-DCF!$C$66-DCF!$C$67)-DCF!$C$74)/(DCF!$C$69+DCF!$C$70)),(((M14*(1+$B14)^DCF!$C$8)+DCF!$C$65-DCF!$C$66-DCF!$C$67)-DCF!$C$74-DCF!$C$71)/DCF!$C$69)</f>
        <v>24.194930565178701</v>
      </c>
      <c r="E14" s="53">
        <f>IF((((N14*(1+$B14)^DCF!$C$8)+DCF!$C$65-DCF!$C$66-DCF!$C$67)-DCF!$C$74)/(DCF!$C$69+DCF!$C$70)&gt;DCF!$C$72,IF(((N14*(1+$B14)^DCF!$C$8)+DCF!$C$65-DCF!$C$66-DCF!$C$67)/(DCF!$C$69+DCF!$C$70+DCF!$C$73)&gt;DCF!$C$75,((N14*(1+$B14)^DCF!$C$8)+DCF!$C$65-DCF!$C$66-DCF!$C$67)/(DCF!$C$69+DCF!$C$70+DCF!$C$73),(((N14*(1+$B14)^DCF!$C$8)+DCF!$C$65-DCF!$C$66-DCF!$C$67)-DCF!$C$74)/(DCF!$C$69+DCF!$C$70)),(((N14*(1+$B14)^DCF!$C$8)+DCF!$C$65-DCF!$C$66-DCF!$C$67)-DCF!$C$74-DCF!$C$71)/DCF!$C$69)</f>
        <v>25.415218404590185</v>
      </c>
      <c r="F14" s="53">
        <f>IF((((O14*(1+$B14)^DCF!$C$8)+DCF!$C$65-DCF!$C$66-DCF!$C$67)-DCF!$C$74)/(DCF!$C$69+DCF!$C$70)&gt;DCF!$C$72,IF(((O14*(1+$B14)^DCF!$C$8)+DCF!$C$65-DCF!$C$66-DCF!$C$67)/(DCF!$C$69+DCF!$C$70+DCF!$C$73)&gt;DCF!$C$75,((O14*(1+$B14)^DCF!$C$8)+DCF!$C$65-DCF!$C$66-DCF!$C$67)/(DCF!$C$69+DCF!$C$70+DCF!$C$73),(((O14*(1+$B14)^DCF!$C$8)+DCF!$C$65-DCF!$C$66-DCF!$C$67)-DCF!$C$74)/(DCF!$C$69+DCF!$C$70)),(((O14*(1+$B14)^DCF!$C$8)+DCF!$C$65-DCF!$C$66-DCF!$C$67)-DCF!$C$74-DCF!$C$71)/DCF!$C$69)</f>
        <v>26.712723253961315</v>
      </c>
      <c r="G14" s="53">
        <f>IF((((P14*(1+$B14)^DCF!$C$8)+DCF!$C$65-DCF!$C$66-DCF!$C$67)-DCF!$C$74)/(DCF!$C$69+DCF!$C$70)&gt;DCF!$C$72,IF(((P14*(1+$B14)^DCF!$C$8)+DCF!$C$65-DCF!$C$66-DCF!$C$67)/(DCF!$C$69+DCF!$C$70+DCF!$C$73)&gt;DCF!$C$75,((P14*(1+$B14)^DCF!$C$8)+DCF!$C$65-DCF!$C$66-DCF!$C$67)/(DCF!$C$69+DCF!$C$70+DCF!$C$73),(((P14*(1+$B14)^DCF!$C$8)+DCF!$C$65-DCF!$C$66-DCF!$C$67)-DCF!$C$74)/(DCF!$C$69+DCF!$C$70)),(((P14*(1+$B14)^DCF!$C$8)+DCF!$C$65-DCF!$C$66-DCF!$C$67)-DCF!$C$74-DCF!$C$71)/DCF!$C$69)</f>
        <v>28.178735226627388</v>
      </c>
      <c r="K14" s="58">
        <f t="shared" si="0"/>
        <v>0.11699999999999999</v>
      </c>
      <c r="L14" s="59">
        <f>SUMPRODUCT(DCF!$D$42:$H$42/(1+$B14)^DCF!$D$43:$H$43)+DCF!$H$40*(1+C$7)/($B14-C$7)/(1+$B14)^DCF!$C$53</f>
        <v>6860.3971524044064</v>
      </c>
      <c r="M14" s="59">
        <f>SUMPRODUCT(DCF!$D$42:$H$42/(1+$B14)^DCF!$D$43:$H$43)+DCF!$H$40*(1+D$7)/($B14-D$7)/(1+$B14)^DCF!$C$53</f>
        <v>7139.2561112042604</v>
      </c>
      <c r="N14" s="59">
        <f>SUMPRODUCT(DCF!$D$42:$H$42/(1+$B14)^DCF!$D$43:$H$43)+DCF!$H$40*(1+E$7)/($B14-E$7)/(1+$B14)^DCF!$C$53</f>
        <v>7450.1678238891564</v>
      </c>
      <c r="O14" s="59">
        <f>SUMPRODUCT(DCF!$D$42:$H$42/(1+$B14)^DCF!$D$43:$H$43)+DCF!$H$40*(1+F$7)/($B14-F$7)/(1+$B14)^DCF!$C$53</f>
        <v>7798.9955990966009</v>
      </c>
      <c r="P14" s="59">
        <f>SUMPRODUCT(DCF!$D$42:$H$42/(1+$B14)^DCF!$D$43:$H$43)+DCF!$H$40*(1+G$7)/($B14-G$7)/(1+$B14)^DCF!$C$53</f>
        <v>8193.1256827725447</v>
      </c>
    </row>
    <row r="17" spans="1:16" x14ac:dyDescent="0.25">
      <c r="A17" s="8" t="s">
        <v>540</v>
      </c>
      <c r="B17" s="9"/>
      <c r="C17" s="9"/>
      <c r="D17" s="9"/>
      <c r="E17" s="9"/>
      <c r="F17" s="9"/>
      <c r="G17" s="9"/>
      <c r="H17" s="9"/>
    </row>
    <row r="18" spans="1:16" x14ac:dyDescent="0.25">
      <c r="A18" s="2" t="s">
        <v>541</v>
      </c>
    </row>
    <row r="19" spans="1:16" x14ac:dyDescent="0.25">
      <c r="B19" s="3" t="s">
        <v>538</v>
      </c>
      <c r="C19" s="61">
        <f>DCF!$C$28+-3</f>
        <v>8</v>
      </c>
      <c r="D19" s="61">
        <f>DCF!$C$28+-1.5</f>
        <v>9.5</v>
      </c>
      <c r="E19" s="61">
        <f>DCF!$C$28+0</f>
        <v>11</v>
      </c>
      <c r="F19" s="61">
        <f>DCF!$C$28+1.5</f>
        <v>12.5</v>
      </c>
      <c r="G19" s="61">
        <f>DCF!$C$28+3</f>
        <v>14</v>
      </c>
      <c r="K19" s="2" t="s">
        <v>539</v>
      </c>
      <c r="L19" s="62">
        <f>C19</f>
        <v>8</v>
      </c>
      <c r="M19" s="62">
        <f>D19</f>
        <v>9.5</v>
      </c>
      <c r="N19" s="62">
        <f>E19</f>
        <v>11</v>
      </c>
      <c r="O19" s="62">
        <f>F19</f>
        <v>12.5</v>
      </c>
      <c r="P19" s="62">
        <f>G19</f>
        <v>14</v>
      </c>
    </row>
    <row r="20" spans="1:16" x14ac:dyDescent="0.25">
      <c r="B20" s="57">
        <f>ROUND(DCF!$C$26,3)+-0.015</f>
        <v>8.6999999999999994E-2</v>
      </c>
      <c r="C20" s="53">
        <f>IF((((L20*(1+$B20)^DCF!$C$8)+DCF!$C$65-DCF!$C$66-DCF!$C$67)-DCF!$C$74)/(DCF!$C$69+DCF!$C$70)&gt;DCF!$C$72,IF(((L20*(1+$B20)^DCF!$C$8)+DCF!$C$65-DCF!$C$66-DCF!$C$67)/(DCF!$C$69+DCF!$C$70+DCF!$C$73)&gt;DCF!$C$75,((L20*(1+$B20)^DCF!$C$8)+DCF!$C$65-DCF!$C$66-DCF!$C$67)/(DCF!$C$69+DCF!$C$70+DCF!$C$73),(((L20*(1+$B20)^DCF!$C$8)+DCF!$C$65-DCF!$C$66-DCF!$C$67)-DCF!$C$74)/(DCF!$C$69+DCF!$C$70)),(((L20*(1+$B20)^DCF!$C$8)+DCF!$C$65-DCF!$C$66-DCF!$C$67)-DCF!$C$74-DCF!$C$71)/DCF!$C$69)</f>
        <v>27.693459996802094</v>
      </c>
      <c r="D20" s="53">
        <f>IF((((M20*(1+$B20)^DCF!$C$8)+DCF!$C$65-DCF!$C$66-DCF!$C$67)-DCF!$C$74)/(DCF!$C$69+DCF!$C$70)&gt;DCF!$C$72,IF(((M20*(1+$B20)^DCF!$C$8)+DCF!$C$65-DCF!$C$66-DCF!$C$67)/(DCF!$C$69+DCF!$C$70+DCF!$C$73)&gt;DCF!$C$75,((M20*(1+$B20)^DCF!$C$8)+DCF!$C$65-DCF!$C$66-DCF!$C$67)/(DCF!$C$69+DCF!$C$70+DCF!$C$73),(((M20*(1+$B20)^DCF!$C$8)+DCF!$C$65-DCF!$C$66-DCF!$C$67)-DCF!$C$74)/(DCF!$C$69+DCF!$C$70)),(((M20*(1+$B20)^DCF!$C$8)+DCF!$C$65-DCF!$C$66-DCF!$C$67)-DCF!$C$74-DCF!$C$71)/DCF!$C$69)</f>
        <v>31.714030808846811</v>
      </c>
      <c r="E20" s="53">
        <f>IF((((N20*(1+$B20)^DCF!$C$8)+DCF!$C$65-DCF!$C$66-DCF!$C$67)-DCF!$C$74)/(DCF!$C$69+DCF!$C$70)&gt;DCF!$C$72,IF(((N20*(1+$B20)^DCF!$C$8)+DCF!$C$65-DCF!$C$66-DCF!$C$67)/(DCF!$C$69+DCF!$C$70+DCF!$C$73)&gt;DCF!$C$75,((N20*(1+$B20)^DCF!$C$8)+DCF!$C$65-DCF!$C$66-DCF!$C$67)/(DCF!$C$69+DCF!$C$70+DCF!$C$73),(((N20*(1+$B20)^DCF!$C$8)+DCF!$C$65-DCF!$C$66-DCF!$C$67)-DCF!$C$74)/(DCF!$C$69+DCF!$C$70)),(((N20*(1+$B20)^DCF!$C$8)+DCF!$C$65-DCF!$C$66-DCF!$C$67)-DCF!$C$74-DCF!$C$71)/DCF!$C$69)</f>
        <v>35.734601620891524</v>
      </c>
      <c r="F20" s="53">
        <f>IF((((O20*(1+$B20)^DCF!$C$8)+DCF!$C$65-DCF!$C$66-DCF!$C$67)-DCF!$C$74)/(DCF!$C$69+DCF!$C$70)&gt;DCF!$C$72,IF(((O20*(1+$B20)^DCF!$C$8)+DCF!$C$65-DCF!$C$66-DCF!$C$67)/(DCF!$C$69+DCF!$C$70+DCF!$C$73)&gt;DCF!$C$75,((O20*(1+$B20)^DCF!$C$8)+DCF!$C$65-DCF!$C$66-DCF!$C$67)/(DCF!$C$69+DCF!$C$70+DCF!$C$73),(((O20*(1+$B20)^DCF!$C$8)+DCF!$C$65-DCF!$C$66-DCF!$C$67)-DCF!$C$74)/(DCF!$C$69+DCF!$C$70)),(((O20*(1+$B20)^DCF!$C$8)+DCF!$C$65-DCF!$C$66-DCF!$C$67)-DCF!$C$74-DCF!$C$71)/DCF!$C$69)</f>
        <v>39.755172432936241</v>
      </c>
      <c r="G20" s="53">
        <f>IF((((P20*(1+$B20)^DCF!$C$8)+DCF!$C$65-DCF!$C$66-DCF!$C$67)-DCF!$C$74)/(DCF!$C$69+DCF!$C$70)&gt;DCF!$C$72,IF(((P20*(1+$B20)^DCF!$C$8)+DCF!$C$65-DCF!$C$66-DCF!$C$67)/(DCF!$C$69+DCF!$C$70+DCF!$C$73)&gt;DCF!$C$75,((P20*(1+$B20)^DCF!$C$8)+DCF!$C$65-DCF!$C$66-DCF!$C$67)/(DCF!$C$69+DCF!$C$70+DCF!$C$73),(((P20*(1+$B20)^DCF!$C$8)+DCF!$C$65-DCF!$C$66-DCF!$C$67)-DCF!$C$74)/(DCF!$C$69+DCF!$C$70)),(((P20*(1+$B20)^DCF!$C$8)+DCF!$C$65-DCF!$C$66-DCF!$C$67)-DCF!$C$74-DCF!$C$71)/DCF!$C$69)</f>
        <v>43.775743244980958</v>
      </c>
      <c r="K20" s="58">
        <f t="shared" ref="K20:K26" si="1">B20</f>
        <v>8.6999999999999994E-2</v>
      </c>
      <c r="L20" s="59">
        <f>SUMPRODUCT(DCF!$D$42:$H$42/(1+$B20)^DCF!$D$43:$H$43)+DCF!$H$39*C$19/(1+$B20)^DCF!$C$53</f>
        <v>8126.0550989443891</v>
      </c>
      <c r="M20" s="59">
        <f>SUMPRODUCT(DCF!$D$42:$H$42/(1+$B20)^DCF!$D$43:$H$43)+DCF!$H$39*D$19/(1+$B20)^DCF!$C$53</f>
        <v>9215.4644577238741</v>
      </c>
      <c r="N20" s="59">
        <f>SUMPRODUCT(DCF!$D$42:$H$42/(1+$B20)^DCF!$D$43:$H$43)+DCF!$H$39*E$19/(1+$B20)^DCF!$C$53</f>
        <v>10304.873816503357</v>
      </c>
      <c r="O20" s="59">
        <f>SUMPRODUCT(DCF!$D$42:$H$42/(1+$B20)^DCF!$D$43:$H$43)+DCF!$H$39*F$19/(1+$B20)^DCF!$C$53</f>
        <v>11394.283175282842</v>
      </c>
      <c r="P20" s="59">
        <f>SUMPRODUCT(DCF!$D$42:$H$42/(1+$B20)^DCF!$D$43:$H$43)+DCF!$H$39*G$19/(1+$B20)^DCF!$C$53</f>
        <v>12483.692534062327</v>
      </c>
    </row>
    <row r="21" spans="1:16" x14ac:dyDescent="0.25">
      <c r="B21" s="57">
        <f>ROUND(DCF!$C$26,3)+-0.01</f>
        <v>9.1999999999999998E-2</v>
      </c>
      <c r="C21" s="53">
        <f>IF((((L21*(1+$B21)^DCF!$C$8)+DCF!$C$65-DCF!$C$66-DCF!$C$67)-DCF!$C$74)/(DCF!$C$69+DCF!$C$70)&gt;DCF!$C$72,IF(((L21*(1+$B21)^DCF!$C$8)+DCF!$C$65-DCF!$C$66-DCF!$C$67)/(DCF!$C$69+DCF!$C$70+DCF!$C$73)&gt;DCF!$C$75,((L21*(1+$B21)^DCF!$C$8)+DCF!$C$65-DCF!$C$66-DCF!$C$67)/(DCF!$C$69+DCF!$C$70+DCF!$C$73),(((L21*(1+$B21)^DCF!$C$8)+DCF!$C$65-DCF!$C$66-DCF!$C$67)-DCF!$C$74)/(DCF!$C$69+DCF!$C$70)),(((L21*(1+$B21)^DCF!$C$8)+DCF!$C$65-DCF!$C$66-DCF!$C$67)-DCF!$C$74-DCF!$C$71)/DCF!$C$69)</f>
        <v>27.203466546810837</v>
      </c>
      <c r="D21" s="53">
        <f>IF((((M21*(1+$B21)^DCF!$C$8)+DCF!$C$65-DCF!$C$66-DCF!$C$67)-DCF!$C$74)/(DCF!$C$69+DCF!$C$70)&gt;DCF!$C$72,IF(((M21*(1+$B21)^DCF!$C$8)+DCF!$C$65-DCF!$C$66-DCF!$C$67)/(DCF!$C$69+DCF!$C$70+DCF!$C$73)&gt;DCF!$C$75,((M21*(1+$B21)^DCF!$C$8)+DCF!$C$65-DCF!$C$66-DCF!$C$67)/(DCF!$C$69+DCF!$C$70+DCF!$C$73),(((M21*(1+$B21)^DCF!$C$8)+DCF!$C$65-DCF!$C$66-DCF!$C$67)-DCF!$C$74)/(DCF!$C$69+DCF!$C$70)),(((M21*(1+$B21)^DCF!$C$8)+DCF!$C$65-DCF!$C$66-DCF!$C$67)-DCF!$C$74-DCF!$C$71)/DCF!$C$69)</f>
        <v>31.147060092230355</v>
      </c>
      <c r="E21" s="53">
        <f>IF((((N21*(1+$B21)^DCF!$C$8)+DCF!$C$65-DCF!$C$66-DCF!$C$67)-DCF!$C$74)/(DCF!$C$69+DCF!$C$70)&gt;DCF!$C$72,IF(((N21*(1+$B21)^DCF!$C$8)+DCF!$C$65-DCF!$C$66-DCF!$C$67)/(DCF!$C$69+DCF!$C$70+DCF!$C$73)&gt;DCF!$C$75,((N21*(1+$B21)^DCF!$C$8)+DCF!$C$65-DCF!$C$66-DCF!$C$67)/(DCF!$C$69+DCF!$C$70+DCF!$C$73),(((N21*(1+$B21)^DCF!$C$8)+DCF!$C$65-DCF!$C$66-DCF!$C$67)-DCF!$C$74)/(DCF!$C$69+DCF!$C$70)),(((N21*(1+$B21)^DCF!$C$8)+DCF!$C$65-DCF!$C$66-DCF!$C$67)-DCF!$C$74-DCF!$C$71)/DCF!$C$69)</f>
        <v>35.090653637649879</v>
      </c>
      <c r="F21" s="53">
        <f>IF((((O21*(1+$B21)^DCF!$C$8)+DCF!$C$65-DCF!$C$66-DCF!$C$67)-DCF!$C$74)/(DCF!$C$69+DCF!$C$70)&gt;DCF!$C$72,IF(((O21*(1+$B21)^DCF!$C$8)+DCF!$C$65-DCF!$C$66-DCF!$C$67)/(DCF!$C$69+DCF!$C$70+DCF!$C$73)&gt;DCF!$C$75,((O21*(1+$B21)^DCF!$C$8)+DCF!$C$65-DCF!$C$66-DCF!$C$67)/(DCF!$C$69+DCF!$C$70+DCF!$C$73),(((O21*(1+$B21)^DCF!$C$8)+DCF!$C$65-DCF!$C$66-DCF!$C$67)-DCF!$C$74)/(DCF!$C$69+DCF!$C$70)),(((O21*(1+$B21)^DCF!$C$8)+DCF!$C$65-DCF!$C$66-DCF!$C$67)-DCF!$C$74-DCF!$C$71)/DCF!$C$69)</f>
        <v>39.034247183069397</v>
      </c>
      <c r="G21" s="53">
        <f>IF((((P21*(1+$B21)^DCF!$C$8)+DCF!$C$65-DCF!$C$66-DCF!$C$67)-DCF!$C$74)/(DCF!$C$69+DCF!$C$70)&gt;DCF!$C$72,IF(((P21*(1+$B21)^DCF!$C$8)+DCF!$C$65-DCF!$C$66-DCF!$C$67)/(DCF!$C$69+DCF!$C$70+DCF!$C$73)&gt;DCF!$C$75,((P21*(1+$B21)^DCF!$C$8)+DCF!$C$65-DCF!$C$66-DCF!$C$67)/(DCF!$C$69+DCF!$C$70+DCF!$C$73),(((P21*(1+$B21)^DCF!$C$8)+DCF!$C$65-DCF!$C$66-DCF!$C$67)-DCF!$C$74)/(DCF!$C$69+DCF!$C$70)),(((P21*(1+$B21)^DCF!$C$8)+DCF!$C$65-DCF!$C$66-DCF!$C$67)-DCF!$C$74-DCF!$C$71)/DCF!$C$69)</f>
        <v>42.977840728488921</v>
      </c>
      <c r="K21" s="58">
        <f t="shared" si="1"/>
        <v>9.1999999999999998E-2</v>
      </c>
      <c r="L21" s="59">
        <f>SUMPRODUCT(DCF!$D$42:$H$42/(1+$B21)^DCF!$D$43:$H$43)+DCF!$H$39*C$19/(1+$B21)^DCF!$C$53</f>
        <v>7982.7412426766978</v>
      </c>
      <c r="M21" s="59">
        <f>SUMPRODUCT(DCF!$D$42:$H$42/(1+$B21)^DCF!$D$43:$H$43)+DCF!$H$39*D$19/(1+$B21)^DCF!$C$53</f>
        <v>9049.8831556971581</v>
      </c>
      <c r="N21" s="59">
        <f>SUMPRODUCT(DCF!$D$42:$H$42/(1+$B21)^DCF!$D$43:$H$43)+DCF!$H$39*E$19/(1+$B21)^DCF!$C$53</f>
        <v>10117.025068717619</v>
      </c>
      <c r="O21" s="59">
        <f>SUMPRODUCT(DCF!$D$42:$H$42/(1+$B21)^DCF!$D$43:$H$43)+DCF!$H$39*F$19/(1+$B21)^DCF!$C$53</f>
        <v>11184.166981738079</v>
      </c>
      <c r="P21" s="59">
        <f>SUMPRODUCT(DCF!$D$42:$H$42/(1+$B21)^DCF!$D$43:$H$43)+DCF!$H$39*G$19/(1+$B21)^DCF!$C$53</f>
        <v>12251.308894758538</v>
      </c>
    </row>
    <row r="22" spans="1:16" x14ac:dyDescent="0.25">
      <c r="B22" s="57">
        <f>ROUND(DCF!$C$26,3)+-0.005</f>
        <v>9.6999999999999989E-2</v>
      </c>
      <c r="C22" s="53">
        <f>IF((((L22*(1+$B22)^DCF!$C$8)+DCF!$C$65-DCF!$C$66-DCF!$C$67)-DCF!$C$74)/(DCF!$C$69+DCF!$C$70)&gt;DCF!$C$72,IF(((L22*(1+$B22)^DCF!$C$8)+DCF!$C$65-DCF!$C$66-DCF!$C$67)/(DCF!$C$69+DCF!$C$70+DCF!$C$73)&gt;DCF!$C$75,((L22*(1+$B22)^DCF!$C$8)+DCF!$C$65-DCF!$C$66-DCF!$C$67)/(DCF!$C$69+DCF!$C$70+DCF!$C$73),(((L22*(1+$B22)^DCF!$C$8)+DCF!$C$65-DCF!$C$66-DCF!$C$67)-DCF!$C$74)/(DCF!$C$69+DCF!$C$70)),(((L22*(1+$B22)^DCF!$C$8)+DCF!$C$65-DCF!$C$66-DCF!$C$67)-DCF!$C$74-DCF!$C$71)/DCF!$C$69)</f>
        <v>26.724514063743712</v>
      </c>
      <c r="D22" s="53">
        <f>IF((((M22*(1+$B22)^DCF!$C$8)+DCF!$C$65-DCF!$C$66-DCF!$C$67)-DCF!$C$74)/(DCF!$C$69+DCF!$C$70)&gt;DCF!$C$72,IF(((M22*(1+$B22)^DCF!$C$8)+DCF!$C$65-DCF!$C$66-DCF!$C$67)/(DCF!$C$69+DCF!$C$70+DCF!$C$73)&gt;DCF!$C$75,((M22*(1+$B22)^DCF!$C$8)+DCF!$C$65-DCF!$C$66-DCF!$C$67)/(DCF!$C$69+DCF!$C$70+DCF!$C$73),(((M22*(1+$B22)^DCF!$C$8)+DCF!$C$65-DCF!$C$66-DCF!$C$67)-DCF!$C$74)/(DCF!$C$69+DCF!$C$70)),(((M22*(1+$B22)^DCF!$C$8)+DCF!$C$65-DCF!$C$66-DCF!$C$67)-DCF!$C$74-DCF!$C$71)/DCF!$C$69)</f>
        <v>30.592945753428879</v>
      </c>
      <c r="E22" s="53">
        <f>IF((((N22*(1+$B22)^DCF!$C$8)+DCF!$C$65-DCF!$C$66-DCF!$C$67)-DCF!$C$74)/(DCF!$C$69+DCF!$C$70)&gt;DCF!$C$72,IF(((N22*(1+$B22)^DCF!$C$8)+DCF!$C$65-DCF!$C$66-DCF!$C$67)/(DCF!$C$69+DCF!$C$70+DCF!$C$73)&gt;DCF!$C$75,((N22*(1+$B22)^DCF!$C$8)+DCF!$C$65-DCF!$C$66-DCF!$C$67)/(DCF!$C$69+DCF!$C$70+DCF!$C$73),(((N22*(1+$B22)^DCF!$C$8)+DCF!$C$65-DCF!$C$66-DCF!$C$67)-DCF!$C$74)/(DCF!$C$69+DCF!$C$70)),(((N22*(1+$B22)^DCF!$C$8)+DCF!$C$65-DCF!$C$66-DCF!$C$67)-DCF!$C$74-DCF!$C$71)/DCF!$C$69)</f>
        <v>34.461377443114038</v>
      </c>
      <c r="F22" s="53">
        <f>IF((((O22*(1+$B22)^DCF!$C$8)+DCF!$C$65-DCF!$C$66-DCF!$C$67)-DCF!$C$74)/(DCF!$C$69+DCF!$C$70)&gt;DCF!$C$72,IF(((O22*(1+$B22)^DCF!$C$8)+DCF!$C$65-DCF!$C$66-DCF!$C$67)/(DCF!$C$69+DCF!$C$70+DCF!$C$73)&gt;DCF!$C$75,((O22*(1+$B22)^DCF!$C$8)+DCF!$C$65-DCF!$C$66-DCF!$C$67)/(DCF!$C$69+DCF!$C$70+DCF!$C$73),(((O22*(1+$B22)^DCF!$C$8)+DCF!$C$65-DCF!$C$66-DCF!$C$67)-DCF!$C$74)/(DCF!$C$69+DCF!$C$70)),(((O22*(1+$B22)^DCF!$C$8)+DCF!$C$65-DCF!$C$66-DCF!$C$67)-DCF!$C$74-DCF!$C$71)/DCF!$C$69)</f>
        <v>38.329809132799213</v>
      </c>
      <c r="G22" s="53">
        <f>IF((((P22*(1+$B22)^DCF!$C$8)+DCF!$C$65-DCF!$C$66-DCF!$C$67)-DCF!$C$74)/(DCF!$C$69+DCF!$C$70)&gt;DCF!$C$72,IF(((P22*(1+$B22)^DCF!$C$8)+DCF!$C$65-DCF!$C$66-DCF!$C$67)/(DCF!$C$69+DCF!$C$70+DCF!$C$73)&gt;DCF!$C$75,((P22*(1+$B22)^DCF!$C$8)+DCF!$C$65-DCF!$C$66-DCF!$C$67)/(DCF!$C$69+DCF!$C$70+DCF!$C$73),(((P22*(1+$B22)^DCF!$C$8)+DCF!$C$65-DCF!$C$66-DCF!$C$67)-DCF!$C$74)/(DCF!$C$69+DCF!$C$70)),(((P22*(1+$B22)^DCF!$C$8)+DCF!$C$65-DCF!$C$66-DCF!$C$67)-DCF!$C$74-DCF!$C$71)/DCF!$C$69)</f>
        <v>42.198240822484379</v>
      </c>
      <c r="K22" s="58">
        <f t="shared" si="1"/>
        <v>9.6999999999999989E-2</v>
      </c>
      <c r="L22" s="59">
        <f>SUMPRODUCT(DCF!$D$42:$H$42/(1+$B22)^DCF!$D$43:$H$43)+DCF!$H$39*C$19/(1+$B22)^DCF!$C$53</f>
        <v>7842.822458285671</v>
      </c>
      <c r="M22" s="59">
        <f>SUMPRODUCT(DCF!$D$42:$H$42/(1+$B22)^DCF!$D$43:$H$43)+DCF!$H$39*D$19/(1+$B22)^DCF!$C$53</f>
        <v>8888.2506951362011</v>
      </c>
      <c r="N22" s="59">
        <f>SUMPRODUCT(DCF!$D$42:$H$42/(1+$B22)^DCF!$D$43:$H$43)+DCF!$H$39*E$19/(1+$B22)^DCF!$C$53</f>
        <v>9933.6789319867312</v>
      </c>
      <c r="O22" s="59">
        <f>SUMPRODUCT(DCF!$D$42:$H$42/(1+$B22)^DCF!$D$43:$H$43)+DCF!$H$39*F$19/(1+$B22)^DCF!$C$53</f>
        <v>10979.107168837261</v>
      </c>
      <c r="P22" s="59">
        <f>SUMPRODUCT(DCF!$D$42:$H$42/(1+$B22)^DCF!$D$43:$H$43)+DCF!$H$39*G$19/(1+$B22)^DCF!$C$53</f>
        <v>12024.535405687791</v>
      </c>
    </row>
    <row r="23" spans="1:16" x14ac:dyDescent="0.25">
      <c r="B23" s="57">
        <f>ROUND(DCF!$C$26,3)+0</f>
        <v>0.10199999999999999</v>
      </c>
      <c r="C23" s="53">
        <f>IF((((L23*(1+$B23)^DCF!$C$8)+DCF!$C$65-DCF!$C$66-DCF!$C$67)-DCF!$C$74)/(DCF!$C$69+DCF!$C$70)&gt;DCF!$C$72,IF(((L23*(1+$B23)^DCF!$C$8)+DCF!$C$65-DCF!$C$66-DCF!$C$67)/(DCF!$C$69+DCF!$C$70+DCF!$C$73)&gt;DCF!$C$75,((L23*(1+$B23)^DCF!$C$8)+DCF!$C$65-DCF!$C$66-DCF!$C$67)/(DCF!$C$69+DCF!$C$70+DCF!$C$73),(((L23*(1+$B23)^DCF!$C$8)+DCF!$C$65-DCF!$C$66-DCF!$C$67)-DCF!$C$74)/(DCF!$C$69+DCF!$C$70)),(((L23*(1+$B23)^DCF!$C$8)+DCF!$C$65-DCF!$C$66-DCF!$C$67)-DCF!$C$74-DCF!$C$71)/DCF!$C$69)</f>
        <v>26.256300876325753</v>
      </c>
      <c r="D23" s="53">
        <f>IF((((M23*(1+$B23)^DCF!$C$8)+DCF!$C$65-DCF!$C$66-DCF!$C$67)-DCF!$C$74)/(DCF!$C$69+DCF!$C$70)&gt;DCF!$C$72,IF(((M23*(1+$B23)^DCF!$C$8)+DCF!$C$65-DCF!$C$66-DCF!$C$67)/(DCF!$C$69+DCF!$C$70+DCF!$C$73)&gt;DCF!$C$75,((M23*(1+$B23)^DCF!$C$8)+DCF!$C$65-DCF!$C$66-DCF!$C$67)/(DCF!$C$69+DCF!$C$70+DCF!$C$73),(((M23*(1+$B23)^DCF!$C$8)+DCF!$C$65-DCF!$C$66-DCF!$C$67)-DCF!$C$74)/(DCF!$C$69+DCF!$C$70)),(((M23*(1+$B23)^DCF!$C$8)+DCF!$C$65-DCF!$C$66-DCF!$C$67)-DCF!$C$74-DCF!$C$71)/DCF!$C$69)</f>
        <v>30.051335323112824</v>
      </c>
      <c r="E23" s="60">
        <f>IF((((N23*(1+$B23)^DCF!$C$8)+DCF!$C$65-DCF!$C$66-DCF!$C$67)-DCF!$C$74)/(DCF!$C$69+DCF!$C$70)&gt;DCF!$C$72,IF(((N23*(1+$B23)^DCF!$C$8)+DCF!$C$65-DCF!$C$66-DCF!$C$67)/(DCF!$C$69+DCF!$C$70+DCF!$C$73)&gt;DCF!$C$75,((N23*(1+$B23)^DCF!$C$8)+DCF!$C$65-DCF!$C$66-DCF!$C$67)/(DCF!$C$69+DCF!$C$70+DCF!$C$73),(((N23*(1+$B23)^DCF!$C$8)+DCF!$C$65-DCF!$C$66-DCF!$C$67)-DCF!$C$74)/(DCF!$C$69+DCF!$C$70)),(((N23*(1+$B23)^DCF!$C$8)+DCF!$C$65-DCF!$C$66-DCF!$C$67)-DCF!$C$74-DCF!$C$71)/DCF!$C$69)</f>
        <v>33.846369769899887</v>
      </c>
      <c r="F23" s="53">
        <f>IF((((O23*(1+$B23)^DCF!$C$8)+DCF!$C$65-DCF!$C$66-DCF!$C$67)-DCF!$C$74)/(DCF!$C$69+DCF!$C$70)&gt;DCF!$C$72,IF(((O23*(1+$B23)^DCF!$C$8)+DCF!$C$65-DCF!$C$66-DCF!$C$67)/(DCF!$C$69+DCF!$C$70+DCF!$C$73)&gt;DCF!$C$75,((O23*(1+$B23)^DCF!$C$8)+DCF!$C$65-DCF!$C$66-DCF!$C$67)/(DCF!$C$69+DCF!$C$70+DCF!$C$73),(((O23*(1+$B23)^DCF!$C$8)+DCF!$C$65-DCF!$C$66-DCF!$C$67)-DCF!$C$74)/(DCF!$C$69+DCF!$C$70)),(((O23*(1+$B23)^DCF!$C$8)+DCF!$C$65-DCF!$C$66-DCF!$C$67)-DCF!$C$74-DCF!$C$71)/DCF!$C$69)</f>
        <v>37.641404216686951</v>
      </c>
      <c r="G23" s="53">
        <f>IF((((P23*(1+$B23)^DCF!$C$8)+DCF!$C$65-DCF!$C$66-DCF!$C$67)-DCF!$C$74)/(DCF!$C$69+DCF!$C$70)&gt;DCF!$C$72,IF(((P23*(1+$B23)^DCF!$C$8)+DCF!$C$65-DCF!$C$66-DCF!$C$67)/(DCF!$C$69+DCF!$C$70+DCF!$C$73)&gt;DCF!$C$75,((P23*(1+$B23)^DCF!$C$8)+DCF!$C$65-DCF!$C$66-DCF!$C$67)/(DCF!$C$69+DCF!$C$70+DCF!$C$73),(((P23*(1+$B23)^DCF!$C$8)+DCF!$C$65-DCF!$C$66-DCF!$C$67)-DCF!$C$74)/(DCF!$C$69+DCF!$C$70)),(((P23*(1+$B23)^DCF!$C$8)+DCF!$C$65-DCF!$C$66-DCF!$C$67)-DCF!$C$74-DCF!$C$71)/DCF!$C$69)</f>
        <v>41.436438663474014</v>
      </c>
      <c r="K23" s="58">
        <f t="shared" si="1"/>
        <v>0.10199999999999999</v>
      </c>
      <c r="L23" s="59">
        <f>SUMPRODUCT(DCF!$D$42:$H$42/(1+$B23)^DCF!$D$43:$H$43)+DCF!$H$39*C$19/(1+$B23)^DCF!$C$53</f>
        <v>7706.2019121806889</v>
      </c>
      <c r="M23" s="59">
        <f>SUMPRODUCT(DCF!$D$42:$H$42/(1+$B23)^DCF!$D$43:$H$43)+DCF!$H$39*D$19/(1+$B23)^DCF!$C$53</f>
        <v>8730.4540401527702</v>
      </c>
      <c r="N23" s="59">
        <f>SUMPRODUCT(DCF!$D$42:$H$42/(1+$B23)^DCF!$D$43:$H$43)+DCF!$H$39*E$19/(1+$B23)^DCF!$C$53</f>
        <v>9754.7061681248506</v>
      </c>
      <c r="O23" s="59">
        <f>SUMPRODUCT(DCF!$D$42:$H$42/(1+$B23)^DCF!$D$43:$H$43)+DCF!$H$39*F$19/(1+$B23)^DCF!$C$53</f>
        <v>10778.958296096931</v>
      </c>
      <c r="P23" s="59">
        <f>SUMPRODUCT(DCF!$D$42:$H$42/(1+$B23)^DCF!$D$43:$H$43)+DCF!$H$39*G$19/(1+$B23)^DCF!$C$53</f>
        <v>11803.210424069011</v>
      </c>
    </row>
    <row r="24" spans="1:16" x14ac:dyDescent="0.25">
      <c r="B24" s="57">
        <f>ROUND(DCF!$C$26,3)+0.005</f>
        <v>0.107</v>
      </c>
      <c r="C24" s="53">
        <f>IF((((L24*(1+$B24)^DCF!$C$8)+DCF!$C$65-DCF!$C$66-DCF!$C$67)-DCF!$C$74)/(DCF!$C$69+DCF!$C$70)&gt;DCF!$C$72,IF(((L24*(1+$B24)^DCF!$C$8)+DCF!$C$65-DCF!$C$66-DCF!$C$67)/(DCF!$C$69+DCF!$C$70+DCF!$C$73)&gt;DCF!$C$75,((L24*(1+$B24)^DCF!$C$8)+DCF!$C$65-DCF!$C$66-DCF!$C$67)/(DCF!$C$69+DCF!$C$70+DCF!$C$73),(((L24*(1+$B24)^DCF!$C$8)+DCF!$C$65-DCF!$C$66-DCF!$C$67)-DCF!$C$74)/(DCF!$C$69+DCF!$C$70)),(((L24*(1+$B24)^DCF!$C$8)+DCF!$C$65-DCF!$C$66-DCF!$C$67)-DCF!$C$74-DCF!$C$71)/DCF!$C$69)</f>
        <v>25.79853492507371</v>
      </c>
      <c r="D24" s="53">
        <f>IF((((M24*(1+$B24)^DCF!$C$8)+DCF!$C$65-DCF!$C$66-DCF!$C$67)-DCF!$C$74)/(DCF!$C$69+DCF!$C$70)&gt;DCF!$C$72,IF(((M24*(1+$B24)^DCF!$C$8)+DCF!$C$65-DCF!$C$66-DCF!$C$67)/(DCF!$C$69+DCF!$C$70+DCF!$C$73)&gt;DCF!$C$75,((M24*(1+$B24)^DCF!$C$8)+DCF!$C$65-DCF!$C$66-DCF!$C$67)/(DCF!$C$69+DCF!$C$70+DCF!$C$73),(((M24*(1+$B24)^DCF!$C$8)+DCF!$C$65-DCF!$C$66-DCF!$C$67)-DCF!$C$74)/(DCF!$C$69+DCF!$C$70)),(((M24*(1+$B24)^DCF!$C$8)+DCF!$C$65-DCF!$C$66-DCF!$C$67)-DCF!$C$74-DCF!$C$71)/DCF!$C$69)</f>
        <v>29.521887586550104</v>
      </c>
      <c r="E24" s="53">
        <f>IF((((N24*(1+$B24)^DCF!$C$8)+DCF!$C$65-DCF!$C$66-DCF!$C$67)-DCF!$C$74)/(DCF!$C$69+DCF!$C$70)&gt;DCF!$C$72,IF(((N24*(1+$B24)^DCF!$C$8)+DCF!$C$65-DCF!$C$66-DCF!$C$67)/(DCF!$C$69+DCF!$C$70+DCF!$C$73)&gt;DCF!$C$75,((N24*(1+$B24)^DCF!$C$8)+DCF!$C$65-DCF!$C$66-DCF!$C$67)/(DCF!$C$69+DCF!$C$70+DCF!$C$73),(((N24*(1+$B24)^DCF!$C$8)+DCF!$C$65-DCF!$C$66-DCF!$C$67)-DCF!$C$74)/(DCF!$C$69+DCF!$C$70)),(((N24*(1+$B24)^DCF!$C$8)+DCF!$C$65-DCF!$C$66-DCF!$C$67)-DCF!$C$74-DCF!$C$71)/DCF!$C$69)</f>
        <v>33.245240248026491</v>
      </c>
      <c r="F24" s="53">
        <f>IF((((O24*(1+$B24)^DCF!$C$8)+DCF!$C$65-DCF!$C$66-DCF!$C$67)-DCF!$C$74)/(DCF!$C$69+DCF!$C$70)&gt;DCF!$C$72,IF(((O24*(1+$B24)^DCF!$C$8)+DCF!$C$65-DCF!$C$66-DCF!$C$67)/(DCF!$C$69+DCF!$C$70+DCF!$C$73)&gt;DCF!$C$75,((O24*(1+$B24)^DCF!$C$8)+DCF!$C$65-DCF!$C$66-DCF!$C$67)/(DCF!$C$69+DCF!$C$70+DCF!$C$73),(((O24*(1+$B24)^DCF!$C$8)+DCF!$C$65-DCF!$C$66-DCF!$C$67)-DCF!$C$74)/(DCF!$C$69+DCF!$C$70)),(((O24*(1+$B24)^DCF!$C$8)+DCF!$C$65-DCF!$C$66-DCF!$C$67)-DCF!$C$74-DCF!$C$71)/DCF!$C$69)</f>
        <v>36.968592909502881</v>
      </c>
      <c r="G24" s="53">
        <f>IF((((P24*(1+$B24)^DCF!$C$8)+DCF!$C$65-DCF!$C$66-DCF!$C$67)-DCF!$C$74)/(DCF!$C$69+DCF!$C$70)&gt;DCF!$C$72,IF(((P24*(1+$B24)^DCF!$C$8)+DCF!$C$65-DCF!$C$66-DCF!$C$67)/(DCF!$C$69+DCF!$C$70+DCF!$C$73)&gt;DCF!$C$75,((P24*(1+$B24)^DCF!$C$8)+DCF!$C$65-DCF!$C$66-DCF!$C$67)/(DCF!$C$69+DCF!$C$70+DCF!$C$73),(((P24*(1+$B24)^DCF!$C$8)+DCF!$C$65-DCF!$C$66-DCF!$C$67)-DCF!$C$74)/(DCF!$C$69+DCF!$C$70)),(((P24*(1+$B24)^DCF!$C$8)+DCF!$C$65-DCF!$C$66-DCF!$C$67)-DCF!$C$74-DCF!$C$71)/DCF!$C$69)</f>
        <v>40.691945570979271</v>
      </c>
      <c r="K24" s="58">
        <f t="shared" si="1"/>
        <v>0.107</v>
      </c>
      <c r="L24" s="59">
        <f>SUMPRODUCT(DCF!$D$42:$H$42/(1+$B24)^DCF!$D$43:$H$43)+DCF!$H$39*C$19/(1+$B24)^DCF!$C$53</f>
        <v>7572.7859736633127</v>
      </c>
      <c r="M24" s="59">
        <f>SUMPRODUCT(DCF!$D$42:$H$42/(1+$B24)^DCF!$D$43:$H$43)+DCF!$H$39*D$19/(1+$B24)^DCF!$C$53</f>
        <v>8576.3839022772718</v>
      </c>
      <c r="N24" s="59">
        <f>SUMPRODUCT(DCF!$D$42:$H$42/(1+$B24)^DCF!$D$43:$H$43)+DCF!$H$39*E$19/(1+$B24)^DCF!$C$53</f>
        <v>9579.981830891229</v>
      </c>
      <c r="O24" s="59">
        <f>SUMPRODUCT(DCF!$D$42:$H$42/(1+$B24)^DCF!$D$43:$H$43)+DCF!$H$39*F$19/(1+$B24)^DCF!$C$53</f>
        <v>10583.579759505186</v>
      </c>
      <c r="P24" s="59">
        <f>SUMPRODUCT(DCF!$D$42:$H$42/(1+$B24)^DCF!$D$43:$H$43)+DCF!$H$39*G$19/(1+$B24)^DCF!$C$53</f>
        <v>11587.177688119145</v>
      </c>
    </row>
    <row r="25" spans="1:16" x14ac:dyDescent="0.25">
      <c r="B25" s="57">
        <f>ROUND(DCF!$C$26,3)+0.01</f>
        <v>0.11199999999999999</v>
      </c>
      <c r="C25" s="53">
        <f>IF((((L25*(1+$B25)^DCF!$C$8)+DCF!$C$65-DCF!$C$66-DCF!$C$67)-DCF!$C$74)/(DCF!$C$69+DCF!$C$70)&gt;DCF!$C$72,IF(((L25*(1+$B25)^DCF!$C$8)+DCF!$C$65-DCF!$C$66-DCF!$C$67)/(DCF!$C$69+DCF!$C$70+DCF!$C$73)&gt;DCF!$C$75,((L25*(1+$B25)^DCF!$C$8)+DCF!$C$65-DCF!$C$66-DCF!$C$67)/(DCF!$C$69+DCF!$C$70+DCF!$C$73),(((L25*(1+$B25)^DCF!$C$8)+DCF!$C$65-DCF!$C$66-DCF!$C$67)-DCF!$C$74)/(DCF!$C$69+DCF!$C$70)),(((L25*(1+$B25)^DCF!$C$8)+DCF!$C$65-DCF!$C$66-DCF!$C$67)-DCF!$C$74-DCF!$C$71)/DCF!$C$69)</f>
        <v>25.350933413548084</v>
      </c>
      <c r="D25" s="53">
        <f>IF((((M25*(1+$B25)^DCF!$C$8)+DCF!$C$65-DCF!$C$66-DCF!$C$67)-DCF!$C$74)/(DCF!$C$69+DCF!$C$70)&gt;DCF!$C$72,IF(((M25*(1+$B25)^DCF!$C$8)+DCF!$C$65-DCF!$C$66-DCF!$C$67)/(DCF!$C$69+DCF!$C$70+DCF!$C$73)&gt;DCF!$C$75,((M25*(1+$B25)^DCF!$C$8)+DCF!$C$65-DCF!$C$66-DCF!$C$67)/(DCF!$C$69+DCF!$C$70+DCF!$C$73),(((M25*(1+$B25)^DCF!$C$8)+DCF!$C$65-DCF!$C$66-DCF!$C$67)-DCF!$C$74)/(DCF!$C$69+DCF!$C$70)),(((M25*(1+$B25)^DCF!$C$8)+DCF!$C$65-DCF!$C$66-DCF!$C$67)-DCF!$C$74-DCF!$C$71)/DCF!$C$69)</f>
        <v>29.004272174633982</v>
      </c>
      <c r="E25" s="53">
        <f>IF((((N25*(1+$B25)^DCF!$C$8)+DCF!$C$65-DCF!$C$66-DCF!$C$67)-DCF!$C$74)/(DCF!$C$69+DCF!$C$70)&gt;DCF!$C$72,IF(((N25*(1+$B25)^DCF!$C$8)+DCF!$C$65-DCF!$C$66-DCF!$C$67)/(DCF!$C$69+DCF!$C$70+DCF!$C$73)&gt;DCF!$C$75,((N25*(1+$B25)^DCF!$C$8)+DCF!$C$65-DCF!$C$66-DCF!$C$67)/(DCF!$C$69+DCF!$C$70+DCF!$C$73),(((N25*(1+$B25)^DCF!$C$8)+DCF!$C$65-DCF!$C$66-DCF!$C$67)-DCF!$C$74)/(DCF!$C$69+DCF!$C$70)),(((N25*(1+$B25)^DCF!$C$8)+DCF!$C$65-DCF!$C$66-DCF!$C$67)-DCF!$C$74-DCF!$C$71)/DCF!$C$69)</f>
        <v>32.657610935719873</v>
      </c>
      <c r="F25" s="53">
        <f>IF((((O25*(1+$B25)^DCF!$C$8)+DCF!$C$65-DCF!$C$66-DCF!$C$67)-DCF!$C$74)/(DCF!$C$69+DCF!$C$70)&gt;DCF!$C$72,IF(((O25*(1+$B25)^DCF!$C$8)+DCF!$C$65-DCF!$C$66-DCF!$C$67)/(DCF!$C$69+DCF!$C$70+DCF!$C$73)&gt;DCF!$C$75,((O25*(1+$B25)^DCF!$C$8)+DCF!$C$65-DCF!$C$66-DCF!$C$67)/(DCF!$C$69+DCF!$C$70+DCF!$C$73),(((O25*(1+$B25)^DCF!$C$8)+DCF!$C$65-DCF!$C$66-DCF!$C$67)-DCF!$C$74)/(DCF!$C$69+DCF!$C$70)),(((O25*(1+$B25)^DCF!$C$8)+DCF!$C$65-DCF!$C$66-DCF!$C$67)-DCF!$C$74-DCF!$C$71)/DCF!$C$69)</f>
        <v>36.310949696805757</v>
      </c>
      <c r="G25" s="53">
        <f>IF((((P25*(1+$B25)^DCF!$C$8)+DCF!$C$65-DCF!$C$66-DCF!$C$67)-DCF!$C$74)/(DCF!$C$69+DCF!$C$70)&gt;DCF!$C$72,IF(((P25*(1+$B25)^DCF!$C$8)+DCF!$C$65-DCF!$C$66-DCF!$C$67)/(DCF!$C$69+DCF!$C$70+DCF!$C$73)&gt;DCF!$C$75,((P25*(1+$B25)^DCF!$C$8)+DCF!$C$65-DCF!$C$66-DCF!$C$67)/(DCF!$C$69+DCF!$C$70+DCF!$C$73),(((P25*(1+$B25)^DCF!$C$8)+DCF!$C$65-DCF!$C$66-DCF!$C$67)-DCF!$C$74)/(DCF!$C$69+DCF!$C$70)),(((P25*(1+$B25)^DCF!$C$8)+DCF!$C$65-DCF!$C$66-DCF!$C$67)-DCF!$C$74-DCF!$C$71)/DCF!$C$69)</f>
        <v>39.964288457891655</v>
      </c>
      <c r="K25" s="58">
        <f t="shared" si="1"/>
        <v>0.11199999999999999</v>
      </c>
      <c r="L25" s="59">
        <f>SUMPRODUCT(DCF!$D$42:$H$42/(1+$B25)^DCF!$D$43:$H$43)+DCF!$H$39*C$19/(1+$B25)^DCF!$C$53</f>
        <v>7442.4840948094607</v>
      </c>
      <c r="M25" s="59">
        <f>SUMPRODUCT(DCF!$D$42:$H$42/(1+$B25)^DCF!$D$43:$H$43)+DCF!$H$39*D$19/(1+$B25)^DCF!$C$53</f>
        <v>8425.9345996930788</v>
      </c>
      <c r="N25" s="59">
        <f>SUMPRODUCT(DCF!$D$42:$H$42/(1+$B25)^DCF!$D$43:$H$43)+DCF!$H$39*E$19/(1+$B25)^DCF!$C$53</f>
        <v>9409.3851045766969</v>
      </c>
      <c r="O25" s="59">
        <f>SUMPRODUCT(DCF!$D$42:$H$42/(1+$B25)^DCF!$D$43:$H$43)+DCF!$H$39*F$19/(1+$B25)^DCF!$C$53</f>
        <v>10392.835609460311</v>
      </c>
      <c r="P25" s="59">
        <f>SUMPRODUCT(DCF!$D$42:$H$42/(1+$B25)^DCF!$D$43:$H$43)+DCF!$H$39*G$19/(1+$B25)^DCF!$C$53</f>
        <v>11376.28611434393</v>
      </c>
    </row>
    <row r="26" spans="1:16" x14ac:dyDescent="0.25">
      <c r="B26" s="57">
        <f>ROUND(DCF!$C$26,3)+0.015</f>
        <v>0.11699999999999999</v>
      </c>
      <c r="C26" s="53">
        <f>IF((((L26*(1+$B26)^DCF!$C$8)+DCF!$C$65-DCF!$C$66-DCF!$C$67)-DCF!$C$74)/(DCF!$C$69+DCF!$C$70)&gt;DCF!$C$72,IF(((L26*(1+$B26)^DCF!$C$8)+DCF!$C$65-DCF!$C$66-DCF!$C$67)/(DCF!$C$69+DCF!$C$70+DCF!$C$73)&gt;DCF!$C$75,((L26*(1+$B26)^DCF!$C$8)+DCF!$C$65-DCF!$C$66-DCF!$C$67)/(DCF!$C$69+DCF!$C$70+DCF!$C$73),(((L26*(1+$B26)^DCF!$C$8)+DCF!$C$65-DCF!$C$66-DCF!$C$67)-DCF!$C$74)/(DCF!$C$69+DCF!$C$70)),(((L26*(1+$B26)^DCF!$C$8)+DCF!$C$65-DCF!$C$66-DCF!$C$67)-DCF!$C$74-DCF!$C$71)/DCF!$C$69)</f>
        <v>24.905751605899233</v>
      </c>
      <c r="D26" s="53">
        <f>IF((((M26*(1+$B26)^DCF!$C$8)+DCF!$C$65-DCF!$C$66-DCF!$C$67)-DCF!$C$74)/(DCF!$C$69+DCF!$C$70)&gt;DCF!$C$72,IF(((M26*(1+$B26)^DCF!$C$8)+DCF!$C$65-DCF!$C$66-DCF!$C$67)/(DCF!$C$69+DCF!$C$70+DCF!$C$73)&gt;DCF!$C$75,((M26*(1+$B26)^DCF!$C$8)+DCF!$C$65-DCF!$C$66-DCF!$C$67)/(DCF!$C$69+DCF!$C$70+DCF!$C$73),(((M26*(1+$B26)^DCF!$C$8)+DCF!$C$65-DCF!$C$66-DCF!$C$67)-DCF!$C$74)/(DCF!$C$69+DCF!$C$70)),(((M26*(1+$B26)^DCF!$C$8)+DCF!$C$65-DCF!$C$66-DCF!$C$67)-DCF!$C$74-DCF!$C$71)/DCF!$C$69)</f>
        <v>28.498169171546241</v>
      </c>
      <c r="E26" s="53">
        <f>IF((((N26*(1+$B26)^DCF!$C$8)+DCF!$C$65-DCF!$C$66-DCF!$C$67)-DCF!$C$74)/(DCF!$C$69+DCF!$C$70)&gt;DCF!$C$72,IF(((N26*(1+$B26)^DCF!$C$8)+DCF!$C$65-DCF!$C$66-DCF!$C$67)/(DCF!$C$69+DCF!$C$70+DCF!$C$73)&gt;DCF!$C$75,((N26*(1+$B26)^DCF!$C$8)+DCF!$C$65-DCF!$C$66-DCF!$C$67)/(DCF!$C$69+DCF!$C$70+DCF!$C$73),(((N26*(1+$B26)^DCF!$C$8)+DCF!$C$65-DCF!$C$66-DCF!$C$67)-DCF!$C$74)/(DCF!$C$69+DCF!$C$70)),(((N26*(1+$B26)^DCF!$C$8)+DCF!$C$65-DCF!$C$66-DCF!$C$67)-DCF!$C$74-DCF!$C$71)/DCF!$C$69)</f>
        <v>32.083115869317567</v>
      </c>
      <c r="F26" s="53">
        <f>IF((((O26*(1+$B26)^DCF!$C$8)+DCF!$C$65-DCF!$C$66-DCF!$C$67)-DCF!$C$74)/(DCF!$C$69+DCF!$C$70)&gt;DCF!$C$72,IF(((O26*(1+$B26)^DCF!$C$8)+DCF!$C$65-DCF!$C$66-DCF!$C$67)/(DCF!$C$69+DCF!$C$70+DCF!$C$73)&gt;DCF!$C$75,((O26*(1+$B26)^DCF!$C$8)+DCF!$C$65-DCF!$C$66-DCF!$C$67)/(DCF!$C$69+DCF!$C$70+DCF!$C$73),(((O26*(1+$B26)^DCF!$C$8)+DCF!$C$65-DCF!$C$66-DCF!$C$67)-DCF!$C$74)/(DCF!$C$69+DCF!$C$70)),(((O26*(1+$B26)^DCF!$C$8)+DCF!$C$65-DCF!$C$66-DCF!$C$67)-DCF!$C$74-DCF!$C$71)/DCF!$C$69)</f>
        <v>35.668062567088882</v>
      </c>
      <c r="G26" s="53">
        <f>IF((((P26*(1+$B26)^DCF!$C$8)+DCF!$C$65-DCF!$C$66-DCF!$C$67)-DCF!$C$74)/(DCF!$C$69+DCF!$C$70)&gt;DCF!$C$72,IF(((P26*(1+$B26)^DCF!$C$8)+DCF!$C$65-DCF!$C$66-DCF!$C$67)/(DCF!$C$69+DCF!$C$70+DCF!$C$73)&gt;DCF!$C$75,((P26*(1+$B26)^DCF!$C$8)+DCF!$C$65-DCF!$C$66-DCF!$C$67)/(DCF!$C$69+DCF!$C$70+DCF!$C$73),(((P26*(1+$B26)^DCF!$C$8)+DCF!$C$65-DCF!$C$66-DCF!$C$67)-DCF!$C$74)/(DCF!$C$69+DCF!$C$70)),(((P26*(1+$B26)^DCF!$C$8)+DCF!$C$65-DCF!$C$66-DCF!$C$67)-DCF!$C$74-DCF!$C$71)/DCF!$C$69)</f>
        <v>39.253009264860211</v>
      </c>
      <c r="K26" s="58">
        <f t="shared" si="1"/>
        <v>0.11699999999999999</v>
      </c>
      <c r="L26" s="59">
        <f>SUMPRODUCT(DCF!$D$42:$H$42/(1+$B26)^DCF!$D$43:$H$43)+DCF!$H$39*C$19/(1+$B26)^DCF!$C$53</f>
        <v>7315.2086953784983</v>
      </c>
      <c r="M26" s="59">
        <f>SUMPRODUCT(DCF!$D$42:$H$42/(1+$B26)^DCF!$D$43:$H$43)+DCF!$H$39*D$19/(1+$B26)^DCF!$C$53</f>
        <v>8279.0039223689419</v>
      </c>
      <c r="N26" s="59">
        <f>SUMPRODUCT(DCF!$D$42:$H$42/(1+$B26)^DCF!$D$43:$H$43)+DCF!$H$39*E$19/(1+$B26)^DCF!$C$53</f>
        <v>9242.7991493593872</v>
      </c>
      <c r="O26" s="59">
        <f>SUMPRODUCT(DCF!$D$42:$H$42/(1+$B26)^DCF!$D$43:$H$43)+DCF!$H$39*F$19/(1+$B26)^DCF!$C$53</f>
        <v>10206.594376349829</v>
      </c>
      <c r="P26" s="59">
        <f>SUMPRODUCT(DCF!$D$42:$H$42/(1+$B26)^DCF!$D$43:$H$43)+DCF!$H$39*G$19/(1+$B26)^DCF!$C$53</f>
        <v>11170.389603340274</v>
      </c>
    </row>
    <row r="29" spans="1:16" x14ac:dyDescent="0.25">
      <c r="A29" s="8" t="s">
        <v>542</v>
      </c>
      <c r="B29" s="9"/>
      <c r="C29" s="9"/>
      <c r="D29" s="9"/>
      <c r="E29" s="9"/>
      <c r="F29" s="9"/>
      <c r="G29" s="9"/>
      <c r="H29" s="9"/>
    </row>
    <row r="30" spans="1:16" x14ac:dyDescent="0.25">
      <c r="A30" s="2" t="s">
        <v>543</v>
      </c>
    </row>
    <row r="31" spans="1:16" x14ac:dyDescent="0.25">
      <c r="B31" s="3" t="s">
        <v>538</v>
      </c>
      <c r="C31" s="57">
        <f>ROUND(DCF!$H$40/DCF!$H$38,3)+-0.03</f>
        <v>0.153</v>
      </c>
      <c r="D31" s="57">
        <f>ROUND(DCF!$H$40/DCF!$H$38,3)+-0.015</f>
        <v>0.16799999999999998</v>
      </c>
      <c r="E31" s="57">
        <f>ROUND(DCF!$H$40/DCF!$H$38,3)+0</f>
        <v>0.183</v>
      </c>
      <c r="F31" s="57">
        <f>ROUND(DCF!$H$40/DCF!$H$38,3)+0.015</f>
        <v>0.19800000000000001</v>
      </c>
      <c r="G31" s="57">
        <f>ROUND(DCF!$H$40/DCF!$H$38,3)+0.03</f>
        <v>0.21299999999999999</v>
      </c>
      <c r="K31" s="2" t="s">
        <v>539</v>
      </c>
      <c r="L31" s="58">
        <f>C31</f>
        <v>0.153</v>
      </c>
      <c r="M31" s="58">
        <f>D31</f>
        <v>0.16799999999999998</v>
      </c>
      <c r="N31" s="58">
        <f>E31</f>
        <v>0.183</v>
      </c>
      <c r="O31" s="58">
        <f>F31</f>
        <v>0.19800000000000001</v>
      </c>
      <c r="P31" s="58">
        <f>G31</f>
        <v>0.21299999999999999</v>
      </c>
    </row>
    <row r="32" spans="1:16" x14ac:dyDescent="0.25">
      <c r="B32" s="57">
        <f>DCF!$C$27+-0.01</f>
        <v>1.9999999999999997E-2</v>
      </c>
      <c r="C32" s="53">
        <f>IF((((L32*(1+DCF!$C$26)^DCF!$C$8)+DCF!$C$65-DCF!$C$66-DCF!$C$67)-DCF!$C$74)/(DCF!$C$69+DCF!$C$70)&gt;DCF!$C$72,IF(((L32*(1+DCF!$C$26)^DCF!$C$8)+DCF!$C$65-DCF!$C$66-DCF!$C$67)/(DCF!$C$69+DCF!$C$70+DCF!$C$73)&gt;DCF!$C$75,((L32*(1+DCF!$C$26)^DCF!$C$8)+DCF!$C$65-DCF!$C$66-DCF!$C$67)/(DCF!$C$69+DCF!$C$70+DCF!$C$73),(((L32*(1+DCF!$C$26)^DCF!$C$8)+DCF!$C$65-DCF!$C$66-DCF!$C$67)-DCF!$C$74)/(DCF!$C$69+DCF!$C$70)),(((L32*(1+DCF!$C$26)^DCF!$C$8)+DCF!$C$65-DCF!$C$66-DCF!$C$67)-DCF!$C$74-DCF!$C$71)/DCF!$C$69)</f>
        <v>24.246351994851512</v>
      </c>
      <c r="D32" s="53">
        <f>IF((((M32*(1+DCF!$C$26)^DCF!$C$8)+DCF!$C$65-DCF!$C$66-DCF!$C$67)-DCF!$C$74)/(DCF!$C$69+DCF!$C$70)&gt;DCF!$C$72,IF(((M32*(1+DCF!$C$26)^DCF!$C$8)+DCF!$C$65-DCF!$C$66-DCF!$C$67)/(DCF!$C$69+DCF!$C$70+DCF!$C$73)&gt;DCF!$C$75,((M32*(1+DCF!$C$26)^DCF!$C$8)+DCF!$C$65-DCF!$C$66-DCF!$C$67)/(DCF!$C$69+DCF!$C$70+DCF!$C$73),(((M32*(1+DCF!$C$26)^DCF!$C$8)+DCF!$C$65-DCF!$C$66-DCF!$C$67)-DCF!$C$74)/(DCF!$C$69+DCF!$C$70)),(((M32*(1+DCF!$C$26)^DCF!$C$8)+DCF!$C$65-DCF!$C$66-DCF!$C$67)-DCF!$C$74-DCF!$C$71)/DCF!$C$69)</f>
        <v>26.099226847901392</v>
      </c>
      <c r="E32" s="53">
        <f>IF((((N32*(1+DCF!$C$26)^DCF!$C$8)+DCF!$C$65-DCF!$C$66-DCF!$C$67)-DCF!$C$74)/(DCF!$C$69+DCF!$C$70)&gt;DCF!$C$72,IF(((N32*(1+DCF!$C$26)^DCF!$C$8)+DCF!$C$65-DCF!$C$66-DCF!$C$67)/(DCF!$C$69+DCF!$C$70+DCF!$C$73)&gt;DCF!$C$75,((N32*(1+DCF!$C$26)^DCF!$C$8)+DCF!$C$65-DCF!$C$66-DCF!$C$67)/(DCF!$C$69+DCF!$C$70+DCF!$C$73),(((N32*(1+DCF!$C$26)^DCF!$C$8)+DCF!$C$65-DCF!$C$66-DCF!$C$67)-DCF!$C$74)/(DCF!$C$69+DCF!$C$70)),(((N32*(1+DCF!$C$26)^DCF!$C$8)+DCF!$C$65-DCF!$C$66-DCF!$C$67)-DCF!$C$74-DCF!$C$71)/DCF!$C$69)</f>
        <v>27.892361641452585</v>
      </c>
      <c r="F32" s="53">
        <f>IF((((O32*(1+DCF!$C$26)^DCF!$C$8)+DCF!$C$65-DCF!$C$66-DCF!$C$67)-DCF!$C$74)/(DCF!$C$69+DCF!$C$70)&gt;DCF!$C$72,IF(((O32*(1+DCF!$C$26)^DCF!$C$8)+DCF!$C$65-DCF!$C$66-DCF!$C$67)/(DCF!$C$69+DCF!$C$70+DCF!$C$73)&gt;DCF!$C$75,((O32*(1+DCF!$C$26)^DCF!$C$8)+DCF!$C$65-DCF!$C$66-DCF!$C$67)/(DCF!$C$69+DCF!$C$70+DCF!$C$73),(((O32*(1+DCF!$C$26)^DCF!$C$8)+DCF!$C$65-DCF!$C$66-DCF!$C$67)-DCF!$C$74)/(DCF!$C$69+DCF!$C$70)),(((O32*(1+DCF!$C$26)^DCF!$C$8)+DCF!$C$65-DCF!$C$66-DCF!$C$67)-DCF!$C$74-DCF!$C$71)/DCF!$C$69)</f>
        <v>29.685496435003778</v>
      </c>
      <c r="G32" s="53">
        <f>IF((((P32*(1+DCF!$C$26)^DCF!$C$8)+DCF!$C$65-DCF!$C$66-DCF!$C$67)-DCF!$C$74)/(DCF!$C$69+DCF!$C$70)&gt;DCF!$C$72,IF(((P32*(1+DCF!$C$26)^DCF!$C$8)+DCF!$C$65-DCF!$C$66-DCF!$C$67)/(DCF!$C$69+DCF!$C$70+DCF!$C$73)&gt;DCF!$C$75,((P32*(1+DCF!$C$26)^DCF!$C$8)+DCF!$C$65-DCF!$C$66-DCF!$C$67)/(DCF!$C$69+DCF!$C$70+DCF!$C$73),(((P32*(1+DCF!$C$26)^DCF!$C$8)+DCF!$C$65-DCF!$C$66-DCF!$C$67)-DCF!$C$74)/(DCF!$C$69+DCF!$C$70)),(((P32*(1+DCF!$C$26)^DCF!$C$8)+DCF!$C$65-DCF!$C$66-DCF!$C$67)-DCF!$C$74-DCF!$C$71)/DCF!$C$69)</f>
        <v>31.478631228554971</v>
      </c>
      <c r="K32" s="58">
        <f t="shared" ref="K32:K37" si="2">B32</f>
        <v>1.9999999999999997E-2</v>
      </c>
      <c r="L32" s="59">
        <f>SUMPRODUCT(DCF!$D$42:$H$42/(1+DCF!$C$26)^DCF!$D$43:$H$43)+DCF!$H$38*C$31*(1+$B32)/(DCF!$C$26-$B32)/(1+DCF!$C$26)^DCF!$C$53</f>
        <v>7179.8547699065266</v>
      </c>
      <c r="M32" s="59">
        <f>SUMPRODUCT(DCF!$D$42:$H$42/(1+DCF!$C$26)^DCF!$D$43:$H$43)+DCF!$H$38*D$31*(1+$B32)/(DCF!$C$26-$B32)/(1+DCF!$C$26)^DCF!$C$53</f>
        <v>7663.8087771199507</v>
      </c>
      <c r="N32" s="59">
        <f>SUMPRODUCT(DCF!$D$42:$H$42/(1+DCF!$C$26)^DCF!$D$43:$H$43)+DCF!$H$38*E$31*(1+$B32)/(DCF!$C$26-$B32)/(1+DCF!$C$26)^DCF!$C$53</f>
        <v>8147.7627843333767</v>
      </c>
      <c r="O32" s="59">
        <f>SUMPRODUCT(DCF!$D$42:$H$42/(1+DCF!$C$26)^DCF!$D$43:$H$43)+DCF!$H$38*F$31*(1+$B32)/(DCF!$C$26-$B32)/(1+DCF!$C$26)^DCF!$C$53</f>
        <v>8631.7167915468017</v>
      </c>
      <c r="P32" s="59">
        <f>SUMPRODUCT(DCF!$D$42:$H$42/(1+DCF!$C$26)^DCF!$D$43:$H$43)+DCF!$H$38*G$31*(1+$B32)/(DCF!$C$26-$B32)/(1+DCF!$C$26)^DCF!$C$53</f>
        <v>9115.6707987602276</v>
      </c>
    </row>
    <row r="33" spans="1:16" x14ac:dyDescent="0.25">
      <c r="B33" s="57">
        <f>DCF!$C$27+-0.005</f>
        <v>2.4999999999999998E-2</v>
      </c>
      <c r="C33" s="53">
        <f>IF((((L33*(1+DCF!$C$26)^DCF!$C$8)+DCF!$C$65-DCF!$C$66-DCF!$C$67)-DCF!$C$74)/(DCF!$C$69+DCF!$C$70)&gt;DCF!$C$72,IF(((L33*(1+DCF!$C$26)^DCF!$C$8)+DCF!$C$65-DCF!$C$66-DCF!$C$67)/(DCF!$C$69+DCF!$C$70+DCF!$C$73)&gt;DCF!$C$75,((L33*(1+DCF!$C$26)^DCF!$C$8)+DCF!$C$65-DCF!$C$66-DCF!$C$67)/(DCF!$C$69+DCF!$C$70+DCF!$C$73),(((L33*(1+DCF!$C$26)^DCF!$C$8)+DCF!$C$65-DCF!$C$66-DCF!$C$67)-DCF!$C$74)/(DCF!$C$69+DCF!$C$70)),(((L33*(1+DCF!$C$26)^DCF!$C$8)+DCF!$C$65-DCF!$C$66-DCF!$C$67)-DCF!$C$74-DCF!$C$71)/DCF!$C$69)</f>
        <v>25.589231367657614</v>
      </c>
      <c r="D33" s="53">
        <f>IF((((M33*(1+DCF!$C$26)^DCF!$C$8)+DCF!$C$65-DCF!$C$66-DCF!$C$67)-DCF!$C$74)/(DCF!$C$69+DCF!$C$70)&gt;DCF!$C$72,IF(((M33*(1+DCF!$C$26)^DCF!$C$8)+DCF!$C$65-DCF!$C$66-DCF!$C$67)/(DCF!$C$69+DCF!$C$70+DCF!$C$73)&gt;DCF!$C$75,((M33*(1+DCF!$C$26)^DCF!$C$8)+DCF!$C$65-DCF!$C$66-DCF!$C$67)/(DCF!$C$69+DCF!$C$70+DCF!$C$73),(((M33*(1+DCF!$C$26)^DCF!$C$8)+DCF!$C$65-DCF!$C$66-DCF!$C$67)-DCF!$C$74)/(DCF!$C$69+DCF!$C$70)),(((M33*(1+DCF!$C$26)^DCF!$C$8)+DCF!$C$65-DCF!$C$66-DCF!$C$67)-DCF!$C$74-DCF!$C$71)/DCF!$C$69)</f>
        <v>27.508164133101687</v>
      </c>
      <c r="E33" s="53">
        <f>IF((((N33*(1+DCF!$C$26)^DCF!$C$8)+DCF!$C$65-DCF!$C$66-DCF!$C$67)-DCF!$C$74)/(DCF!$C$69+DCF!$C$70)&gt;DCF!$C$72,IF(((N33*(1+DCF!$C$26)^DCF!$C$8)+DCF!$C$65-DCF!$C$66-DCF!$C$67)/(DCF!$C$69+DCF!$C$70+DCF!$C$73)&gt;DCF!$C$75,((N33*(1+DCF!$C$26)^DCF!$C$8)+DCF!$C$65-DCF!$C$66-DCF!$C$67)/(DCF!$C$69+DCF!$C$70+DCF!$C$73),(((N33*(1+DCF!$C$26)^DCF!$C$8)+DCF!$C$65-DCF!$C$66-DCF!$C$67)-DCF!$C$74)/(DCF!$C$69+DCF!$C$70)),(((N33*(1+DCF!$C$26)^DCF!$C$8)+DCF!$C$65-DCF!$C$66-DCF!$C$67)-DCF!$C$74-DCF!$C$71)/DCF!$C$69)</f>
        <v>29.427096898545763</v>
      </c>
      <c r="F33" s="53">
        <f>IF((((O33*(1+DCF!$C$26)^DCF!$C$8)+DCF!$C$65-DCF!$C$66-DCF!$C$67)-DCF!$C$74)/(DCF!$C$69+DCF!$C$70)&gt;DCF!$C$72,IF(((O33*(1+DCF!$C$26)^DCF!$C$8)+DCF!$C$65-DCF!$C$66-DCF!$C$67)/(DCF!$C$69+DCF!$C$70+DCF!$C$73)&gt;DCF!$C$75,((O33*(1+DCF!$C$26)^DCF!$C$8)+DCF!$C$65-DCF!$C$66-DCF!$C$67)/(DCF!$C$69+DCF!$C$70+DCF!$C$73),(((O33*(1+DCF!$C$26)^DCF!$C$8)+DCF!$C$65-DCF!$C$66-DCF!$C$67)-DCF!$C$74)/(DCF!$C$69+DCF!$C$70)),(((O33*(1+DCF!$C$26)^DCF!$C$8)+DCF!$C$65-DCF!$C$66-DCF!$C$67)-DCF!$C$74-DCF!$C$71)/DCF!$C$69)</f>
        <v>31.346029663989828</v>
      </c>
      <c r="G33" s="53">
        <f>IF((((P33*(1+DCF!$C$26)^DCF!$C$8)+DCF!$C$65-DCF!$C$66-DCF!$C$67)-DCF!$C$74)/(DCF!$C$69+DCF!$C$70)&gt;DCF!$C$72,IF(((P33*(1+DCF!$C$26)^DCF!$C$8)+DCF!$C$65-DCF!$C$66-DCF!$C$67)/(DCF!$C$69+DCF!$C$70+DCF!$C$73)&gt;DCF!$C$75,((P33*(1+DCF!$C$26)^DCF!$C$8)+DCF!$C$65-DCF!$C$66-DCF!$C$67)/(DCF!$C$69+DCF!$C$70+DCF!$C$73),(((P33*(1+DCF!$C$26)^DCF!$C$8)+DCF!$C$65-DCF!$C$66-DCF!$C$67)-DCF!$C$74)/(DCF!$C$69+DCF!$C$70)),(((P33*(1+DCF!$C$26)^DCF!$C$8)+DCF!$C$65-DCF!$C$66-DCF!$C$67)-DCF!$C$74-DCF!$C$71)/DCF!$C$69)</f>
        <v>33.264962429433901</v>
      </c>
      <c r="K33" s="58">
        <f t="shared" si="2"/>
        <v>2.4999999999999998E-2</v>
      </c>
      <c r="L33" s="59">
        <f>SUMPRODUCT(DCF!$D$42:$H$42/(1+DCF!$C$26)^DCF!$D$43:$H$43)+DCF!$H$38*C$31*(1+$B33)/(DCF!$C$26-$B33)/(1+DCF!$C$26)^DCF!$C$53</f>
        <v>7526.1647153280801</v>
      </c>
      <c r="M33" s="59">
        <f>SUMPRODUCT(DCF!$D$42:$H$42/(1+DCF!$C$26)^DCF!$D$43:$H$43)+DCF!$H$38*D$31*(1+$B33)/(DCF!$C$26-$B33)/(1+DCF!$C$26)^DCF!$C$53</f>
        <v>8044.0706779749908</v>
      </c>
      <c r="N33" s="59">
        <f>SUMPRODUCT(DCF!$D$42:$H$42/(1+DCF!$C$26)^DCF!$D$43:$H$43)+DCF!$H$38*E$31*(1+$B33)/(DCF!$C$26-$B33)/(1+DCF!$C$26)^DCF!$C$53</f>
        <v>8561.9766406219023</v>
      </c>
      <c r="O33" s="59">
        <f>SUMPRODUCT(DCF!$D$42:$H$42/(1+DCF!$C$26)^DCF!$D$43:$H$43)+DCF!$H$38*F$31*(1+$B33)/(DCF!$C$26-$B33)/(1+DCF!$C$26)^DCF!$C$53</f>
        <v>9079.8826032688121</v>
      </c>
      <c r="P33" s="59">
        <f>SUMPRODUCT(DCF!$D$42:$H$42/(1+DCF!$C$26)^DCF!$D$43:$H$43)+DCF!$H$38*G$31*(1+$B33)/(DCF!$C$26-$B33)/(1+DCF!$C$26)^DCF!$C$53</f>
        <v>9597.7885659157218</v>
      </c>
    </row>
    <row r="34" spans="1:16" x14ac:dyDescent="0.25">
      <c r="B34" s="57">
        <f>DCF!$C$27+0</f>
        <v>0.03</v>
      </c>
      <c r="C34" s="53">
        <f>IF((((L34*(1+DCF!$C$26)^DCF!$C$8)+DCF!$C$65-DCF!$C$66-DCF!$C$67)-DCF!$C$74)/(DCF!$C$69+DCF!$C$70)&gt;DCF!$C$72,IF(((L34*(1+DCF!$C$26)^DCF!$C$8)+DCF!$C$65-DCF!$C$66-DCF!$C$67)/(DCF!$C$69+DCF!$C$70+DCF!$C$73)&gt;DCF!$C$75,((L34*(1+DCF!$C$26)^DCF!$C$8)+DCF!$C$65-DCF!$C$66-DCF!$C$67)/(DCF!$C$69+DCF!$C$70+DCF!$C$73),(((L34*(1+DCF!$C$26)^DCF!$C$8)+DCF!$C$65-DCF!$C$66-DCF!$C$67)-DCF!$C$74)/(DCF!$C$69+DCF!$C$70)),(((L34*(1+DCF!$C$26)^DCF!$C$8)+DCF!$C$65-DCF!$C$66-DCF!$C$67)-DCF!$C$74-DCF!$C$71)/DCF!$C$69)</f>
        <v>27.050584474479948</v>
      </c>
      <c r="D34" s="53">
        <f>IF((((M34*(1+DCF!$C$26)^DCF!$C$8)+DCF!$C$65-DCF!$C$66-DCF!$C$67)-DCF!$C$74)/(DCF!$C$69+DCF!$C$70)&gt;DCF!$C$72,IF(((M34*(1+DCF!$C$26)^DCF!$C$8)+DCF!$C$65-DCF!$C$66-DCF!$C$67)/(DCF!$C$69+DCF!$C$70+DCF!$C$73)&gt;DCF!$C$75,((M34*(1+DCF!$C$26)^DCF!$C$8)+DCF!$C$65-DCF!$C$66-DCF!$C$67)/(DCF!$C$69+DCF!$C$70+DCF!$C$73),(((M34*(1+DCF!$C$26)^DCF!$C$8)+DCF!$C$65-DCF!$C$66-DCF!$C$67)-DCF!$C$74)/(DCF!$C$69+DCF!$C$70)),(((M34*(1+DCF!$C$26)^DCF!$C$8)+DCF!$C$65-DCF!$C$66-DCF!$C$67)-DCF!$C$74-DCF!$C$71)/DCF!$C$69)</f>
        <v>29.112787152357576</v>
      </c>
      <c r="E34" s="60">
        <f>IF((((N34*(1+DCF!$C$26)^DCF!$C$8)+DCF!$C$65-DCF!$C$66-DCF!$C$67)-DCF!$C$74)/(DCF!$C$69+DCF!$C$70)&gt;DCF!$C$72,IF(((N34*(1+DCF!$C$26)^DCF!$C$8)+DCF!$C$65-DCF!$C$66-DCF!$C$67)/(DCF!$C$69+DCF!$C$70+DCF!$C$73)&gt;DCF!$C$75,((N34*(1+DCF!$C$26)^DCF!$C$8)+DCF!$C$65-DCF!$C$66-DCF!$C$67)/(DCF!$C$69+DCF!$C$70+DCF!$C$73),(((N34*(1+DCF!$C$26)^DCF!$C$8)+DCF!$C$65-DCF!$C$66-DCF!$C$67)-DCF!$C$74)/(DCF!$C$69+DCF!$C$70)),(((N34*(1+DCF!$C$26)^DCF!$C$8)+DCF!$C$65-DCF!$C$66-DCF!$C$67)-DCF!$C$74-DCF!$C$71)/DCF!$C$69)</f>
        <v>31.174989830235216</v>
      </c>
      <c r="F34" s="53">
        <f>IF((((O34*(1+DCF!$C$26)^DCF!$C$8)+DCF!$C$65-DCF!$C$66-DCF!$C$67)-DCF!$C$74)/(DCF!$C$69+DCF!$C$70)&gt;DCF!$C$72,IF(((O34*(1+DCF!$C$26)^DCF!$C$8)+DCF!$C$65-DCF!$C$66-DCF!$C$67)/(DCF!$C$69+DCF!$C$70+DCF!$C$73)&gt;DCF!$C$75,((O34*(1+DCF!$C$26)^DCF!$C$8)+DCF!$C$65-DCF!$C$66-DCF!$C$67)/(DCF!$C$69+DCF!$C$70+DCF!$C$73),(((O34*(1+DCF!$C$26)^DCF!$C$8)+DCF!$C$65-DCF!$C$66-DCF!$C$67)-DCF!$C$74)/(DCF!$C$69+DCF!$C$70)),(((O34*(1+DCF!$C$26)^DCF!$C$8)+DCF!$C$65-DCF!$C$66-DCF!$C$67)-DCF!$C$74-DCF!$C$71)/DCF!$C$69)</f>
        <v>33.237192508112841</v>
      </c>
      <c r="G34" s="53">
        <f>IF((((P34*(1+DCF!$C$26)^DCF!$C$8)+DCF!$C$65-DCF!$C$66-DCF!$C$67)-DCF!$C$74)/(DCF!$C$69+DCF!$C$70)&gt;DCF!$C$72,IF(((P34*(1+DCF!$C$26)^DCF!$C$8)+DCF!$C$65-DCF!$C$66-DCF!$C$67)/(DCF!$C$69+DCF!$C$70+DCF!$C$73)&gt;DCF!$C$75,((P34*(1+DCF!$C$26)^DCF!$C$8)+DCF!$C$65-DCF!$C$66-DCF!$C$67)/(DCF!$C$69+DCF!$C$70+DCF!$C$73),(((P34*(1+DCF!$C$26)^DCF!$C$8)+DCF!$C$65-DCF!$C$66-DCF!$C$67)-DCF!$C$74)/(DCF!$C$69+DCF!$C$70)),(((P34*(1+DCF!$C$26)^DCF!$C$8)+DCF!$C$65-DCF!$C$66-DCF!$C$67)-DCF!$C$74-DCF!$C$71)/DCF!$C$69)</f>
        <v>35.299395185990477</v>
      </c>
      <c r="K34" s="58">
        <f t="shared" si="2"/>
        <v>0.03</v>
      </c>
      <c r="L34" s="59">
        <f>SUMPRODUCT(DCF!$D$42:$H$42/(1+DCF!$C$26)^DCF!$D$43:$H$43)+DCF!$H$38*C$31*(1+$B34)/(DCF!$C$26-$B34)/(1+DCF!$C$26)^DCF!$C$53</f>
        <v>7920.5732642804078</v>
      </c>
      <c r="M34" s="59">
        <f>SUMPRODUCT(DCF!$D$42:$H$42/(1+DCF!$C$26)^DCF!$D$43:$H$43)+DCF!$H$38*D$31*(1+$B34)/(DCF!$C$26-$B34)/(1+DCF!$C$26)^DCF!$C$53</f>
        <v>8477.1467317265651</v>
      </c>
      <c r="N34" s="59">
        <f>SUMPRODUCT(DCF!$D$42:$H$42/(1+DCF!$C$26)^DCF!$D$43:$H$43)+DCF!$H$38*E$31*(1+$B34)/(DCF!$C$26-$B34)/(1+DCF!$C$26)^DCF!$C$53</f>
        <v>9033.7201991727252</v>
      </c>
      <c r="O34" s="59">
        <f>SUMPRODUCT(DCF!$D$42:$H$42/(1+DCF!$C$26)^DCF!$D$43:$H$43)+DCF!$H$38*F$31*(1+$B34)/(DCF!$C$26-$B34)/(1+DCF!$C$26)^DCF!$C$53</f>
        <v>9590.2936666188816</v>
      </c>
      <c r="P34" s="59">
        <f>SUMPRODUCT(DCF!$D$42:$H$42/(1+DCF!$C$26)^DCF!$D$43:$H$43)+DCF!$H$38*G$31*(1+$B34)/(DCF!$C$26-$B34)/(1+DCF!$C$26)^DCF!$C$53</f>
        <v>10146.86713406504</v>
      </c>
    </row>
    <row r="35" spans="1:16" x14ac:dyDescent="0.25">
      <c r="B35" s="57">
        <f>DCF!$C$27+0.005</f>
        <v>3.4999999999999996E-2</v>
      </c>
      <c r="C35" s="53">
        <f>IF((((L35*(1+DCF!$C$26)^DCF!$C$8)+DCF!$C$65-DCF!$C$66-DCF!$C$67)-DCF!$C$74)/(DCF!$C$69+DCF!$C$70)&gt;DCF!$C$72,IF(((L35*(1+DCF!$C$26)^DCF!$C$8)+DCF!$C$65-DCF!$C$66-DCF!$C$67)/(DCF!$C$69+DCF!$C$70+DCF!$C$73)&gt;DCF!$C$75,((L35*(1+DCF!$C$26)^DCF!$C$8)+DCF!$C$65-DCF!$C$66-DCF!$C$67)/(DCF!$C$69+DCF!$C$70+DCF!$C$73),(((L35*(1+DCF!$C$26)^DCF!$C$8)+DCF!$C$65-DCF!$C$66-DCF!$C$67)-DCF!$C$74)/(DCF!$C$69+DCF!$C$70)),(((L35*(1+DCF!$C$26)^DCF!$C$8)+DCF!$C$65-DCF!$C$66-DCF!$C$67)-DCF!$C$74-DCF!$C$71)/DCF!$C$69)</f>
        <v>28.730049985305605</v>
      </c>
      <c r="D35" s="53">
        <f>IF((((M35*(1+DCF!$C$26)^DCF!$C$8)+DCF!$C$65-DCF!$C$66-DCF!$C$67)-DCF!$C$74)/(DCF!$C$69+DCF!$C$70)&gt;DCF!$C$72,IF(((M35*(1+DCF!$C$26)^DCF!$C$8)+DCF!$C$65-DCF!$C$66-DCF!$C$67)/(DCF!$C$69+DCF!$C$70+DCF!$C$73)&gt;DCF!$C$75,((M35*(1+DCF!$C$26)^DCF!$C$8)+DCF!$C$65-DCF!$C$66-DCF!$C$67)/(DCF!$C$69+DCF!$C$70+DCF!$C$73),(((M35*(1+DCF!$C$26)^DCF!$C$8)+DCF!$C$65-DCF!$C$66-DCF!$C$67)-DCF!$C$74)/(DCF!$C$69+DCF!$C$70)),(((M35*(1+DCF!$C$26)^DCF!$C$8)+DCF!$C$65-DCF!$C$66-DCF!$C$67)-DCF!$C$74-DCF!$C$71)/DCF!$C$69)</f>
        <v>30.956906144636726</v>
      </c>
      <c r="E35" s="53">
        <f>IF((((N35*(1+DCF!$C$26)^DCF!$C$8)+DCF!$C$65-DCF!$C$66-DCF!$C$67)-DCF!$C$74)/(DCF!$C$69+DCF!$C$70)&gt;DCF!$C$72,IF(((N35*(1+DCF!$C$26)^DCF!$C$8)+DCF!$C$65-DCF!$C$66-DCF!$C$67)/(DCF!$C$69+DCF!$C$70+DCF!$C$73)&gt;DCF!$C$75,((N35*(1+DCF!$C$26)^DCF!$C$8)+DCF!$C$65-DCF!$C$66-DCF!$C$67)/(DCF!$C$69+DCF!$C$70+DCF!$C$73),(((N35*(1+DCF!$C$26)^DCF!$C$8)+DCF!$C$65-DCF!$C$66-DCF!$C$67)-DCF!$C$74)/(DCF!$C$69+DCF!$C$70)),(((N35*(1+DCF!$C$26)^DCF!$C$8)+DCF!$C$65-DCF!$C$66-DCF!$C$67)-DCF!$C$74-DCF!$C$71)/DCF!$C$69)</f>
        <v>33.18376230396786</v>
      </c>
      <c r="F35" s="53">
        <f>IF((((O35*(1+DCF!$C$26)^DCF!$C$8)+DCF!$C$65-DCF!$C$66-DCF!$C$67)-DCF!$C$74)/(DCF!$C$69+DCF!$C$70)&gt;DCF!$C$72,IF(((O35*(1+DCF!$C$26)^DCF!$C$8)+DCF!$C$65-DCF!$C$66-DCF!$C$67)/(DCF!$C$69+DCF!$C$70+DCF!$C$73)&gt;DCF!$C$75,((O35*(1+DCF!$C$26)^DCF!$C$8)+DCF!$C$65-DCF!$C$66-DCF!$C$67)/(DCF!$C$69+DCF!$C$70+DCF!$C$73),(((O35*(1+DCF!$C$26)^DCF!$C$8)+DCF!$C$65-DCF!$C$66-DCF!$C$67)-DCF!$C$74)/(DCF!$C$69+DCF!$C$70)),(((O35*(1+DCF!$C$26)^DCF!$C$8)+DCF!$C$65-DCF!$C$66-DCF!$C$67)-DCF!$C$74-DCF!$C$71)/DCF!$C$69)</f>
        <v>35.410618463298988</v>
      </c>
      <c r="G35" s="53">
        <f>IF((((P35*(1+DCF!$C$26)^DCF!$C$8)+DCF!$C$65-DCF!$C$66-DCF!$C$67)-DCF!$C$74)/(DCF!$C$69+DCF!$C$70)&gt;DCF!$C$72,IF(((P35*(1+DCF!$C$26)^DCF!$C$8)+DCF!$C$65-DCF!$C$66-DCF!$C$67)/(DCF!$C$69+DCF!$C$70+DCF!$C$73)&gt;DCF!$C$75,((P35*(1+DCF!$C$26)^DCF!$C$8)+DCF!$C$65-DCF!$C$66-DCF!$C$67)/(DCF!$C$69+DCF!$C$70+DCF!$C$73),(((P35*(1+DCF!$C$26)^DCF!$C$8)+DCF!$C$65-DCF!$C$66-DCF!$C$67)-DCF!$C$74)/(DCF!$C$69+DCF!$C$70)),(((P35*(1+DCF!$C$26)^DCF!$C$8)+DCF!$C$65-DCF!$C$66-DCF!$C$67)-DCF!$C$74-DCF!$C$71)/DCF!$C$69)</f>
        <v>37.637474622630116</v>
      </c>
      <c r="K35" s="58">
        <f t="shared" si="2"/>
        <v>3.4999999999999996E-2</v>
      </c>
      <c r="L35" s="59">
        <f>SUMPRODUCT(DCF!$D$42:$H$42/(1+DCF!$C$26)^DCF!$D$43:$H$43)+DCF!$H$38*C$31*(1+$B35)/(DCF!$C$26-$B35)/(1+DCF!$C$26)^DCF!$C$53</f>
        <v>8373.8487608375581</v>
      </c>
      <c r="M35" s="59">
        <f>SUMPRODUCT(DCF!$D$42:$H$42/(1+DCF!$C$26)^DCF!$D$43:$H$43)+DCF!$H$38*D$31*(1+$B35)/(DCF!$C$26-$B35)/(1+DCF!$C$26)^DCF!$C$53</f>
        <v>8974.8610024559839</v>
      </c>
      <c r="N35" s="59">
        <f>SUMPRODUCT(DCF!$D$42:$H$42/(1+DCF!$C$26)^DCF!$D$43:$H$43)+DCF!$H$38*E$31*(1+$B35)/(DCF!$C$26-$B35)/(1+DCF!$C$26)^DCF!$C$53</f>
        <v>9575.8732440744134</v>
      </c>
      <c r="O35" s="59">
        <f>SUMPRODUCT(DCF!$D$42:$H$42/(1+DCF!$C$26)^DCF!$D$43:$H$43)+DCF!$H$38*F$31*(1+$B35)/(DCF!$C$26-$B35)/(1+DCF!$C$26)^DCF!$C$53</f>
        <v>10176.885485692841</v>
      </c>
      <c r="P35" s="59">
        <f>SUMPRODUCT(DCF!$D$42:$H$42/(1+DCF!$C$26)^DCF!$D$43:$H$43)+DCF!$H$38*G$31*(1+$B35)/(DCF!$C$26-$B35)/(1+DCF!$C$26)^DCF!$C$53</f>
        <v>10777.897727311269</v>
      </c>
    </row>
    <row r="36" spans="1:16" x14ac:dyDescent="0.25">
      <c r="B36" s="57">
        <f>DCF!$C$27+0.01</f>
        <v>0.04</v>
      </c>
      <c r="C36" s="53">
        <f>IF((((L36*(1+DCF!$C$26)^DCF!$C$8)+DCF!$C$65-DCF!$C$66-DCF!$C$67)-DCF!$C$74)/(DCF!$C$69+DCF!$C$70)&gt;DCF!$C$72,IF(((L36*(1+DCF!$C$26)^DCF!$C$8)+DCF!$C$65-DCF!$C$66-DCF!$C$67)/(DCF!$C$69+DCF!$C$70+DCF!$C$73)&gt;DCF!$C$75,((L36*(1+DCF!$C$26)^DCF!$C$8)+DCF!$C$65-DCF!$C$66-DCF!$C$67)/(DCF!$C$69+DCF!$C$70+DCF!$C$73),(((L36*(1+DCF!$C$26)^DCF!$C$8)+DCF!$C$65-DCF!$C$66-DCF!$C$67)-DCF!$C$74)/(DCF!$C$69+DCF!$C$70)),(((L36*(1+DCF!$C$26)^DCF!$C$8)+DCF!$C$65-DCF!$C$66-DCF!$C$67)-DCF!$C$74-DCF!$C$71)/DCF!$C$69)</f>
        <v>30.680397030135406</v>
      </c>
      <c r="D36" s="53">
        <f>IF((((M36*(1+DCF!$C$26)^DCF!$C$8)+DCF!$C$65-DCF!$C$66-DCF!$C$67)-DCF!$C$74)/(DCF!$C$69+DCF!$C$70)&gt;DCF!$C$72,IF(((M36*(1+DCF!$C$26)^DCF!$C$8)+DCF!$C$65-DCF!$C$66-DCF!$C$67)/(DCF!$C$69+DCF!$C$70+DCF!$C$73)&gt;DCF!$C$75,((M36*(1+DCF!$C$26)^DCF!$C$8)+DCF!$C$65-DCF!$C$66-DCF!$C$67)/(DCF!$C$69+DCF!$C$70+DCF!$C$73),(((M36*(1+DCF!$C$26)^DCF!$C$8)+DCF!$C$65-DCF!$C$66-DCF!$C$67)-DCF!$C$74)/(DCF!$C$69+DCF!$C$70)),(((M36*(1+DCF!$C$26)^DCF!$C$8)+DCF!$C$65-DCF!$C$66-DCF!$C$67)-DCF!$C$74-DCF!$C$71)/DCF!$C$69)</f>
        <v>33.098463684057684</v>
      </c>
      <c r="E36" s="53">
        <f>IF((((N36*(1+DCF!$C$26)^DCF!$C$8)+DCF!$C$65-DCF!$C$66-DCF!$C$67)-DCF!$C$74)/(DCF!$C$69+DCF!$C$70)&gt;DCF!$C$72,IF(((N36*(1+DCF!$C$26)^DCF!$C$8)+DCF!$C$65-DCF!$C$66-DCF!$C$67)/(DCF!$C$69+DCF!$C$70+DCF!$C$73)&gt;DCF!$C$75,((N36*(1+DCF!$C$26)^DCF!$C$8)+DCF!$C$65-DCF!$C$66-DCF!$C$67)/(DCF!$C$69+DCF!$C$70+DCF!$C$73),(((N36*(1+DCF!$C$26)^DCF!$C$8)+DCF!$C$65-DCF!$C$66-DCF!$C$67)-DCF!$C$74)/(DCF!$C$69+DCF!$C$70)),(((N36*(1+DCF!$C$26)^DCF!$C$8)+DCF!$C$65-DCF!$C$66-DCF!$C$67)-DCF!$C$74-DCF!$C$71)/DCF!$C$69)</f>
        <v>35.516530337979979</v>
      </c>
      <c r="F36" s="53">
        <f>IF((((O36*(1+DCF!$C$26)^DCF!$C$8)+DCF!$C$65-DCF!$C$66-DCF!$C$67)-DCF!$C$74)/(DCF!$C$69+DCF!$C$70)&gt;DCF!$C$72,IF(((O36*(1+DCF!$C$26)^DCF!$C$8)+DCF!$C$65-DCF!$C$66-DCF!$C$67)/(DCF!$C$69+DCF!$C$70+DCF!$C$73)&gt;DCF!$C$75,((O36*(1+DCF!$C$26)^DCF!$C$8)+DCF!$C$65-DCF!$C$66-DCF!$C$67)/(DCF!$C$69+DCF!$C$70+DCF!$C$73),(((O36*(1+DCF!$C$26)^DCF!$C$8)+DCF!$C$65-DCF!$C$66-DCF!$C$67)-DCF!$C$74)/(DCF!$C$69+DCF!$C$70)),(((O36*(1+DCF!$C$26)^DCF!$C$8)+DCF!$C$65-DCF!$C$66-DCF!$C$67)-DCF!$C$74-DCF!$C$71)/DCF!$C$69)</f>
        <v>37.934596991902268</v>
      </c>
      <c r="G36" s="53">
        <f>IF((((P36*(1+DCF!$C$26)^DCF!$C$8)+DCF!$C$65-DCF!$C$66-DCF!$C$67)-DCF!$C$74)/(DCF!$C$69+DCF!$C$70)&gt;DCF!$C$72,IF(((P36*(1+DCF!$C$26)^DCF!$C$8)+DCF!$C$65-DCF!$C$66-DCF!$C$67)/(DCF!$C$69+DCF!$C$70+DCF!$C$73)&gt;DCF!$C$75,((P36*(1+DCF!$C$26)^DCF!$C$8)+DCF!$C$65-DCF!$C$66-DCF!$C$67)/(DCF!$C$69+DCF!$C$70+DCF!$C$73),(((P36*(1+DCF!$C$26)^DCF!$C$8)+DCF!$C$65-DCF!$C$66-DCF!$C$67)-DCF!$C$74)/(DCF!$C$69+DCF!$C$70)),(((P36*(1+DCF!$C$26)^DCF!$C$8)+DCF!$C$65-DCF!$C$66-DCF!$C$67)-DCF!$C$74-DCF!$C$71)/DCF!$C$69)</f>
        <v>40.352663645824549</v>
      </c>
      <c r="K36" s="58">
        <f t="shared" si="2"/>
        <v>0.04</v>
      </c>
      <c r="L36" s="59">
        <f>SUMPRODUCT(DCF!$D$42:$H$42/(1+DCF!$C$26)^DCF!$D$43:$H$43)+DCF!$H$38*C$31*(1+$B36)/(DCF!$C$26-$B36)/(1+DCF!$C$26)^DCF!$C$53</f>
        <v>8900.233208452315</v>
      </c>
      <c r="M36" s="59">
        <f>SUMPRODUCT(DCF!$D$42:$H$42/(1+DCF!$C$26)^DCF!$D$43:$H$43)+DCF!$H$38*D$31*(1+$B36)/(DCF!$C$26-$B36)/(1+DCF!$C$26)^DCF!$C$53</f>
        <v>9552.8517684643448</v>
      </c>
      <c r="N36" s="59">
        <f>SUMPRODUCT(DCF!$D$42:$H$42/(1+DCF!$C$26)^DCF!$D$43:$H$43)+DCF!$H$38*E$31*(1+$B36)/(DCF!$C$26-$B36)/(1+DCF!$C$26)^DCF!$C$53</f>
        <v>10205.470328476378</v>
      </c>
      <c r="O36" s="59">
        <f>SUMPRODUCT(DCF!$D$42:$H$42/(1+DCF!$C$26)^DCF!$D$43:$H$43)+DCF!$H$38*F$31*(1+$B36)/(DCF!$C$26-$B36)/(1+DCF!$C$26)^DCF!$C$53</f>
        <v>10858.08888848841</v>
      </c>
      <c r="P36" s="59">
        <f>SUMPRODUCT(DCF!$D$42:$H$42/(1+DCF!$C$26)^DCF!$D$43:$H$43)+DCF!$H$38*G$31*(1+$B36)/(DCF!$C$26-$B36)/(1+DCF!$C$26)^DCF!$C$53</f>
        <v>11510.707448500441</v>
      </c>
    </row>
    <row r="37" spans="1:16" x14ac:dyDescent="0.25">
      <c r="B37" s="57">
        <f>DCF!$C$27+0.015</f>
        <v>4.4999999999999998E-2</v>
      </c>
      <c r="C37" s="53">
        <f>IF((((L37*(1+DCF!$C$26)^DCF!$C$8)+DCF!$C$65-DCF!$C$66-DCF!$C$67)-DCF!$C$74)/(DCF!$C$69+DCF!$C$70)&gt;DCF!$C$72,IF(((L37*(1+DCF!$C$26)^DCF!$C$8)+DCF!$C$65-DCF!$C$66-DCF!$C$67)/(DCF!$C$69+DCF!$C$70+DCF!$C$73)&gt;DCF!$C$75,((L37*(1+DCF!$C$26)^DCF!$C$8)+DCF!$C$65-DCF!$C$66-DCF!$C$67)/(DCF!$C$69+DCF!$C$70+DCF!$C$73),(((L37*(1+DCF!$C$26)^DCF!$C$8)+DCF!$C$65-DCF!$C$66-DCF!$C$67)-DCF!$C$74)/(DCF!$C$69+DCF!$C$70)),(((L37*(1+DCF!$C$26)^DCF!$C$8)+DCF!$C$65-DCF!$C$66-DCF!$C$67)-DCF!$C$74-DCF!$C$71)/DCF!$C$69)</f>
        <v>32.972910223180953</v>
      </c>
      <c r="D37" s="53">
        <f>IF((((M37*(1+DCF!$C$26)^DCF!$C$8)+DCF!$C$65-DCF!$C$66-DCF!$C$67)-DCF!$C$74)/(DCF!$C$69+DCF!$C$70)&gt;DCF!$C$72,IF(((M37*(1+DCF!$C$26)^DCF!$C$8)+DCF!$C$65-DCF!$C$66-DCF!$C$67)/(DCF!$C$69+DCF!$C$70+DCF!$C$73)&gt;DCF!$C$75,((M37*(1+DCF!$C$26)^DCF!$C$8)+DCF!$C$65-DCF!$C$66-DCF!$C$67)/(DCF!$C$69+DCF!$C$70+DCF!$C$73),(((M37*(1+DCF!$C$26)^DCF!$C$8)+DCF!$C$65-DCF!$C$66-DCF!$C$67)-DCF!$C$74)/(DCF!$C$69+DCF!$C$70)),(((M37*(1+DCF!$C$26)^DCF!$C$8)+DCF!$C$65-DCF!$C$66-DCF!$C$67)-DCF!$C$74-DCF!$C$71)/DCF!$C$69)</f>
        <v>35.61573307249985</v>
      </c>
      <c r="E37" s="53">
        <f>IF((((N37*(1+DCF!$C$26)^DCF!$C$8)+DCF!$C$65-DCF!$C$66-DCF!$C$67)-DCF!$C$74)/(DCF!$C$69+DCF!$C$70)&gt;DCF!$C$72,IF(((N37*(1+DCF!$C$26)^DCF!$C$8)+DCF!$C$65-DCF!$C$66-DCF!$C$67)/(DCF!$C$69+DCF!$C$70+DCF!$C$73)&gt;DCF!$C$75,((N37*(1+DCF!$C$26)^DCF!$C$8)+DCF!$C$65-DCF!$C$66-DCF!$C$67)/(DCF!$C$69+DCF!$C$70+DCF!$C$73),(((N37*(1+DCF!$C$26)^DCF!$C$8)+DCF!$C$65-DCF!$C$66-DCF!$C$67)-DCF!$C$74)/(DCF!$C$69+DCF!$C$70)),(((N37*(1+DCF!$C$26)^DCF!$C$8)+DCF!$C$65-DCF!$C$66-DCF!$C$67)-DCF!$C$74-DCF!$C$71)/DCF!$C$69)</f>
        <v>38.258555921818768</v>
      </c>
      <c r="F37" s="53">
        <f>IF((((O37*(1+DCF!$C$26)^DCF!$C$8)+DCF!$C$65-DCF!$C$66-DCF!$C$67)-DCF!$C$74)/(DCF!$C$69+DCF!$C$70)&gt;DCF!$C$72,IF(((O37*(1+DCF!$C$26)^DCF!$C$8)+DCF!$C$65-DCF!$C$66-DCF!$C$67)/(DCF!$C$69+DCF!$C$70+DCF!$C$73)&gt;DCF!$C$75,((O37*(1+DCF!$C$26)^DCF!$C$8)+DCF!$C$65-DCF!$C$66-DCF!$C$67)/(DCF!$C$69+DCF!$C$70+DCF!$C$73),(((O37*(1+DCF!$C$26)^DCF!$C$8)+DCF!$C$65-DCF!$C$66-DCF!$C$67)-DCF!$C$74)/(DCF!$C$69+DCF!$C$70)),(((O37*(1+DCF!$C$26)^DCF!$C$8)+DCF!$C$65-DCF!$C$66-DCF!$C$67)-DCF!$C$74-DCF!$C$71)/DCF!$C$69)</f>
        <v>40.901378771137679</v>
      </c>
      <c r="G37" s="53">
        <f>IF((((P37*(1+DCF!$C$26)^DCF!$C$8)+DCF!$C$65-DCF!$C$66-DCF!$C$67)-DCF!$C$74)/(DCF!$C$69+DCF!$C$70)&gt;DCF!$C$72,IF(((P37*(1+DCF!$C$26)^DCF!$C$8)+DCF!$C$65-DCF!$C$66-DCF!$C$67)/(DCF!$C$69+DCF!$C$70+DCF!$C$73)&gt;DCF!$C$75,((P37*(1+DCF!$C$26)^DCF!$C$8)+DCF!$C$65-DCF!$C$66-DCF!$C$67)/(DCF!$C$69+DCF!$C$70+DCF!$C$73),(((P37*(1+DCF!$C$26)^DCF!$C$8)+DCF!$C$65-DCF!$C$66-DCF!$C$67)-DCF!$C$74)/(DCF!$C$69+DCF!$C$70)),(((P37*(1+DCF!$C$26)^DCF!$C$8)+DCF!$C$65-DCF!$C$66-DCF!$C$67)-DCF!$C$74-DCF!$C$71)/DCF!$C$69)</f>
        <v>43.54420162045659</v>
      </c>
      <c r="K37" s="58">
        <f t="shared" si="2"/>
        <v>4.4999999999999998E-2</v>
      </c>
      <c r="L37" s="59">
        <f>SUMPRODUCT(DCF!$D$42:$H$42/(1+DCF!$C$26)^DCF!$D$43:$H$43)+DCF!$H$38*C$31*(1+$B37)/(DCF!$C$26-$B37)/(1+DCF!$C$26)^DCF!$C$53</f>
        <v>9518.9658047714147</v>
      </c>
      <c r="M37" s="59">
        <f>SUMPRODUCT(DCF!$D$42:$H$42/(1+DCF!$C$26)^DCF!$D$43:$H$43)+DCF!$H$38*D$31*(1+$B37)/(DCF!$C$26-$B37)/(1+DCF!$C$26)^DCF!$C$53</f>
        <v>10232.244423246098</v>
      </c>
      <c r="N37" s="59">
        <f>SUMPRODUCT(DCF!$D$42:$H$42/(1+DCF!$C$26)^DCF!$D$43:$H$43)+DCF!$H$38*E$31*(1+$B37)/(DCF!$C$26-$B37)/(1+DCF!$C$26)^DCF!$C$53</f>
        <v>10945.523041720789</v>
      </c>
      <c r="O37" s="59">
        <f>SUMPRODUCT(DCF!$D$42:$H$42/(1+DCF!$C$26)^DCF!$D$43:$H$43)+DCF!$H$38*F$31*(1+$B37)/(DCF!$C$26-$B37)/(1+DCF!$C$26)^DCF!$C$53</f>
        <v>11658.801660195477</v>
      </c>
      <c r="P37" s="59">
        <f>SUMPRODUCT(DCF!$D$42:$H$42/(1+DCF!$C$26)^DCF!$D$43:$H$43)+DCF!$H$38*G$31*(1+$B37)/(DCF!$C$26-$B37)/(1+DCF!$C$26)^DCF!$C$53</f>
        <v>12372.080278670166</v>
      </c>
    </row>
    <row r="40" spans="1:16" x14ac:dyDescent="0.25">
      <c r="A40" s="8" t="s">
        <v>544</v>
      </c>
      <c r="B40" s="9"/>
      <c r="C40" s="9"/>
      <c r="D40" s="9"/>
      <c r="E40" s="9"/>
      <c r="F40" s="9"/>
      <c r="G40" s="9"/>
      <c r="H40" s="9"/>
    </row>
    <row r="41" spans="1:16" x14ac:dyDescent="0.25">
      <c r="B41" s="47" t="s">
        <v>333</v>
      </c>
      <c r="C41" s="47" t="s">
        <v>334</v>
      </c>
      <c r="D41" s="47" t="s">
        <v>335</v>
      </c>
      <c r="E41" s="47" t="s">
        <v>336</v>
      </c>
    </row>
    <row r="42" spans="1:16" x14ac:dyDescent="0.25">
      <c r="A42" s="10" t="s">
        <v>545</v>
      </c>
      <c r="B42" s="30">
        <v>39.707700000000003</v>
      </c>
      <c r="C42" s="30">
        <v>31.115100000000002</v>
      </c>
      <c r="D42" s="30">
        <v>22.055700000000002</v>
      </c>
      <c r="E42" s="63">
        <f>DCF!C76</f>
        <v>31.115131399249627</v>
      </c>
    </row>
    <row r="43" spans="1:16" x14ac:dyDescent="0.25">
      <c r="A43" s="10" t="s">
        <v>546</v>
      </c>
      <c r="B43" s="30">
        <v>43.267299999999999</v>
      </c>
      <c r="C43" s="30">
        <v>33.846400000000003</v>
      </c>
      <c r="D43" s="30">
        <v>23.943100000000001</v>
      </c>
      <c r="E43" s="63">
        <f>DCF!D76</f>
        <v>33.846369769899887</v>
      </c>
    </row>
    <row r="44" spans="1:16" x14ac:dyDescent="0.25">
      <c r="A44" s="2" t="s">
        <v>547</v>
      </c>
    </row>
  </sheetData>
  <conditionalFormatting sqref="C8:G1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:G2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2:G37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AJ57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30" customWidth="1"/>
    <col min="2" max="2" width="8" customWidth="1"/>
    <col min="3" max="5" width="9" customWidth="1"/>
    <col min="6" max="9" width="10" customWidth="1"/>
    <col min="10" max="12" width="8" customWidth="1"/>
    <col min="13" max="13" width="7" customWidth="1"/>
    <col min="14" max="15" width="6" customWidth="1"/>
    <col min="16" max="16" width="2" customWidth="1"/>
    <col min="17" max="18" width="9" customWidth="1"/>
    <col min="19" max="19" width="10" customWidth="1"/>
    <col min="20" max="22" width="9" customWidth="1"/>
    <col min="23" max="23" width="2" customWidth="1"/>
    <col min="24" max="24" width="8" customWidth="1"/>
    <col min="25" max="25" width="90" customWidth="1"/>
    <col min="26" max="29" width="8" customWidth="1"/>
    <col min="31" max="36" width="8" customWidth="1"/>
  </cols>
  <sheetData>
    <row r="1" spans="1:36" ht="18" x14ac:dyDescent="0.25">
      <c r="A1" s="1" t="s">
        <v>548</v>
      </c>
    </row>
    <row r="2" spans="1:36" x14ac:dyDescent="0.25">
      <c r="A2" s="2" t="s">
        <v>549</v>
      </c>
    </row>
    <row r="3" spans="1:36" x14ac:dyDescent="0.25">
      <c r="A3" s="3" t="s">
        <v>2</v>
      </c>
      <c r="B3" s="4" t="str">
        <f>CHOOSE(Scenarios!$C$4,"Bull case","Base case","Bear case")</f>
        <v>Base case</v>
      </c>
    </row>
    <row r="5" spans="1:36" x14ac:dyDescent="0.25">
      <c r="A5" s="8" t="s">
        <v>550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AE5" s="2" t="s">
        <v>551</v>
      </c>
    </row>
    <row r="6" spans="1:36" ht="30" customHeight="1" x14ac:dyDescent="0.25">
      <c r="A6" s="47" t="s">
        <v>552</v>
      </c>
      <c r="B6" s="47" t="s">
        <v>553</v>
      </c>
      <c r="C6" s="47" t="s">
        <v>554</v>
      </c>
      <c r="D6" s="47" t="s">
        <v>555</v>
      </c>
      <c r="E6" s="47" t="s">
        <v>556</v>
      </c>
      <c r="F6" s="47" t="s">
        <v>557</v>
      </c>
      <c r="G6" s="47" t="s">
        <v>558</v>
      </c>
      <c r="H6" s="47" t="s">
        <v>559</v>
      </c>
      <c r="I6" s="47" t="s">
        <v>560</v>
      </c>
      <c r="J6" s="47" t="s">
        <v>561</v>
      </c>
      <c r="K6" s="47" t="s">
        <v>562</v>
      </c>
      <c r="L6" s="47" t="s">
        <v>563</v>
      </c>
      <c r="M6" s="47" t="s">
        <v>564</v>
      </c>
      <c r="N6" s="47" t="s">
        <v>565</v>
      </c>
      <c r="O6" s="47" t="s">
        <v>566</v>
      </c>
      <c r="Q6" s="47" t="s">
        <v>567</v>
      </c>
      <c r="R6" s="47" t="s">
        <v>568</v>
      </c>
      <c r="S6" s="47" t="s">
        <v>569</v>
      </c>
      <c r="T6" s="47" t="s">
        <v>570</v>
      </c>
      <c r="U6" s="47" t="s">
        <v>571</v>
      </c>
      <c r="V6" s="47" t="s">
        <v>572</v>
      </c>
      <c r="AE6" s="2" t="str">
        <f t="shared" ref="AE6:AJ6" si="0">Q6</f>
        <v>EV/Rev LTM</v>
      </c>
      <c r="AF6" s="2" t="str">
        <f t="shared" si="0"/>
        <v>EV/Rev NTM</v>
      </c>
      <c r="AG6" s="2" t="str">
        <f t="shared" si="0"/>
        <v>EV/EBITDA LTM</v>
      </c>
      <c r="AH6" s="2" t="str">
        <f t="shared" si="0"/>
        <v>P/E NTM</v>
      </c>
      <c r="AI6" s="2" t="str">
        <f t="shared" si="0"/>
        <v>NTM rev growth</v>
      </c>
      <c r="AJ6" s="2" t="str">
        <f t="shared" si="0"/>
        <v>EBITDA mgn LTM</v>
      </c>
    </row>
    <row r="7" spans="1:36" x14ac:dyDescent="0.25">
      <c r="A7" s="10" t="s">
        <v>573</v>
      </c>
      <c r="B7" s="43" t="s">
        <v>574</v>
      </c>
      <c r="C7" s="30">
        <v>43.76</v>
      </c>
      <c r="D7" s="64">
        <v>85.73</v>
      </c>
      <c r="E7" s="64">
        <v>82.4</v>
      </c>
      <c r="F7" s="11">
        <v>9220</v>
      </c>
      <c r="G7" s="11">
        <v>2930</v>
      </c>
      <c r="H7" s="11">
        <v>9730</v>
      </c>
      <c r="I7" s="11">
        <v>10660</v>
      </c>
      <c r="J7" s="38">
        <v>1.1499999999999999</v>
      </c>
      <c r="K7" s="38">
        <v>1.31</v>
      </c>
      <c r="L7" s="50">
        <v>0.22</v>
      </c>
      <c r="M7" s="43" t="s">
        <v>575</v>
      </c>
      <c r="N7" s="65">
        <v>1</v>
      </c>
      <c r="O7" s="65">
        <v>1</v>
      </c>
      <c r="Q7" s="52">
        <f t="shared" ref="Q7:Q14" si="1">E7*1000/F7</f>
        <v>8.9370932754880688</v>
      </c>
      <c r="R7" s="52">
        <f t="shared" ref="R7:R14" si="2">E7*1000/(L7*H7+(1-L7)*I7)</f>
        <v>7.8810949365877905</v>
      </c>
      <c r="S7" s="52">
        <f t="shared" ref="S7:S14" si="3">E7*1000/G7</f>
        <v>28.122866894197951</v>
      </c>
      <c r="T7" s="52">
        <f t="shared" ref="T7:T14" si="4">C7/(L7*J7+(1-L7)*K7)</f>
        <v>34.326953247568248</v>
      </c>
      <c r="U7" s="14">
        <f t="shared" ref="U7:U14" si="5">I7/H7-1</f>
        <v>9.5580678314491241E-2</v>
      </c>
      <c r="V7" s="14">
        <f t="shared" ref="V7:V14" si="6">G7/F7</f>
        <v>0.31778741865509763</v>
      </c>
      <c r="Y7" s="2" t="s">
        <v>576</v>
      </c>
      <c r="AE7" s="66">
        <f t="shared" ref="AE7:AE14" si="7">IF(O7=1,Q7,"")</f>
        <v>8.9370932754880688</v>
      </c>
      <c r="AF7" s="66">
        <f t="shared" ref="AF7:AG14" si="8">IF(N7=1,R7,"")</f>
        <v>7.8810949365877905</v>
      </c>
      <c r="AG7" s="66">
        <f t="shared" si="8"/>
        <v>28.122866894197951</v>
      </c>
      <c r="AH7" s="66">
        <f t="shared" ref="AH7:AH14" si="9">IF(N7=1,T7,"")</f>
        <v>34.326953247568248</v>
      </c>
      <c r="AI7" s="66">
        <f t="shared" ref="AI7:AJ14" si="10">IF(N7=1,U7,"")</f>
        <v>9.5580678314491241E-2</v>
      </c>
      <c r="AJ7" s="66">
        <f t="shared" si="10"/>
        <v>0.31778741865509763</v>
      </c>
    </row>
    <row r="8" spans="1:36" x14ac:dyDescent="0.25">
      <c r="A8" s="10" t="s">
        <v>577</v>
      </c>
      <c r="B8" s="43" t="s">
        <v>578</v>
      </c>
      <c r="C8" s="30">
        <v>32.75</v>
      </c>
      <c r="D8" s="64">
        <v>44.57</v>
      </c>
      <c r="E8" s="64">
        <v>76.569999999999993</v>
      </c>
      <c r="F8" s="11">
        <v>20090</v>
      </c>
      <c r="G8" s="11">
        <v>4810</v>
      </c>
      <c r="H8" s="11">
        <v>26310</v>
      </c>
      <c r="I8" s="11">
        <v>29950</v>
      </c>
      <c r="J8" s="38">
        <v>2.29</v>
      </c>
      <c r="K8" s="38">
        <v>2.5299999999999998</v>
      </c>
      <c r="L8" s="50">
        <v>0.22</v>
      </c>
      <c r="M8" s="43" t="s">
        <v>575</v>
      </c>
      <c r="N8" s="65">
        <v>1</v>
      </c>
      <c r="O8" s="65">
        <v>0</v>
      </c>
      <c r="Q8" s="52">
        <f t="shared" si="1"/>
        <v>3.811348929815829</v>
      </c>
      <c r="R8" s="52">
        <f t="shared" si="2"/>
        <v>2.6268302389087865</v>
      </c>
      <c r="S8" s="52">
        <f t="shared" si="3"/>
        <v>15.918918918918919</v>
      </c>
      <c r="T8" s="52">
        <f t="shared" si="4"/>
        <v>13.220571613111579</v>
      </c>
      <c r="U8" s="14">
        <f t="shared" si="5"/>
        <v>0.13835043709616124</v>
      </c>
      <c r="V8" s="14">
        <f t="shared" si="6"/>
        <v>0.23942259830761572</v>
      </c>
      <c r="Y8" s="2" t="s">
        <v>579</v>
      </c>
      <c r="AE8" s="66" t="str">
        <f t="shared" si="7"/>
        <v/>
      </c>
      <c r="AF8" s="66">
        <f t="shared" si="8"/>
        <v>2.6268302389087865</v>
      </c>
      <c r="AG8" s="66" t="str">
        <f t="shared" si="8"/>
        <v/>
      </c>
      <c r="AH8" s="66">
        <f t="shared" si="9"/>
        <v>13.220571613111579</v>
      </c>
      <c r="AI8" s="66">
        <f t="shared" si="10"/>
        <v>0.13835043709616124</v>
      </c>
      <c r="AJ8" s="66" t="str">
        <f t="shared" si="10"/>
        <v/>
      </c>
    </row>
    <row r="9" spans="1:36" x14ac:dyDescent="0.25">
      <c r="A9" s="10" t="s">
        <v>580</v>
      </c>
      <c r="B9" s="43" t="s">
        <v>581</v>
      </c>
      <c r="C9" s="30">
        <v>126.68</v>
      </c>
      <c r="D9" s="64">
        <v>172.63</v>
      </c>
      <c r="E9" s="64">
        <v>213.35</v>
      </c>
      <c r="F9" s="11">
        <v>98240</v>
      </c>
      <c r="G9" s="11">
        <v>19170</v>
      </c>
      <c r="H9" s="11">
        <v>99310</v>
      </c>
      <c r="I9" s="11">
        <v>101800</v>
      </c>
      <c r="J9" s="38">
        <v>8.4</v>
      </c>
      <c r="K9" s="38">
        <v>8.66</v>
      </c>
      <c r="L9" s="50">
        <v>0.22</v>
      </c>
      <c r="M9" s="43" t="s">
        <v>575</v>
      </c>
      <c r="N9" s="65">
        <v>1</v>
      </c>
      <c r="O9" s="65">
        <v>1</v>
      </c>
      <c r="Q9" s="52">
        <f t="shared" si="1"/>
        <v>2.171722312703583</v>
      </c>
      <c r="R9" s="52">
        <f t="shared" si="2"/>
        <v>2.1071147096063099</v>
      </c>
      <c r="S9" s="52">
        <f t="shared" si="3"/>
        <v>11.129368805425143</v>
      </c>
      <c r="T9" s="52">
        <f t="shared" si="4"/>
        <v>14.72543822941368</v>
      </c>
      <c r="U9" s="14">
        <f t="shared" si="5"/>
        <v>2.5073003725707421E-2</v>
      </c>
      <c r="V9" s="14">
        <f t="shared" si="6"/>
        <v>0.1951343648208469</v>
      </c>
      <c r="Y9" s="2" t="s">
        <v>582</v>
      </c>
      <c r="AE9" s="66">
        <f t="shared" si="7"/>
        <v>2.171722312703583</v>
      </c>
      <c r="AF9" s="66">
        <f t="shared" si="8"/>
        <v>2.1071147096063099</v>
      </c>
      <c r="AG9" s="66">
        <f t="shared" si="8"/>
        <v>11.129368805425143</v>
      </c>
      <c r="AH9" s="66">
        <f t="shared" si="9"/>
        <v>14.72543822941368</v>
      </c>
      <c r="AI9" s="66">
        <f t="shared" si="10"/>
        <v>2.5073003725707421E-2</v>
      </c>
      <c r="AJ9" s="66">
        <f t="shared" si="10"/>
        <v>0.1951343648208469</v>
      </c>
    </row>
    <row r="10" spans="1:36" x14ac:dyDescent="0.25">
      <c r="A10" s="10" t="s">
        <v>583</v>
      </c>
      <c r="B10" s="43" t="s">
        <v>584</v>
      </c>
      <c r="C10" s="30">
        <v>89.79</v>
      </c>
      <c r="D10" s="64">
        <v>386.33</v>
      </c>
      <c r="E10" s="64">
        <v>414.22</v>
      </c>
      <c r="F10" s="11">
        <v>50130</v>
      </c>
      <c r="G10" s="11">
        <v>17000</v>
      </c>
      <c r="H10" s="11">
        <v>49800</v>
      </c>
      <c r="I10" s="11">
        <v>49840</v>
      </c>
      <c r="J10" s="38">
        <v>3.3</v>
      </c>
      <c r="K10" s="38">
        <v>3.52</v>
      </c>
      <c r="L10" s="50">
        <v>0.22</v>
      </c>
      <c r="M10" s="43" t="s">
        <v>575</v>
      </c>
      <c r="N10" s="65">
        <v>1</v>
      </c>
      <c r="O10" s="65">
        <v>1</v>
      </c>
      <c r="Q10" s="52">
        <f t="shared" si="1"/>
        <v>8.2629164173149814</v>
      </c>
      <c r="R10" s="52">
        <f t="shared" si="2"/>
        <v>8.3124628746648686</v>
      </c>
      <c r="S10" s="52">
        <f t="shared" si="3"/>
        <v>24.365882352941178</v>
      </c>
      <c r="T10" s="52">
        <f t="shared" si="4"/>
        <v>25.864154856550297</v>
      </c>
      <c r="U10" s="14">
        <f t="shared" si="5"/>
        <v>8.032128514057213E-4</v>
      </c>
      <c r="V10" s="14">
        <f t="shared" si="6"/>
        <v>0.33911829243965691</v>
      </c>
      <c r="Y10" s="2" t="s">
        <v>585</v>
      </c>
      <c r="AE10" s="66">
        <f t="shared" si="7"/>
        <v>8.2629164173149814</v>
      </c>
      <c r="AF10" s="66">
        <f t="shared" si="8"/>
        <v>8.3124628746648686</v>
      </c>
      <c r="AG10" s="66">
        <f t="shared" si="8"/>
        <v>24.365882352941178</v>
      </c>
      <c r="AH10" s="66">
        <f t="shared" si="9"/>
        <v>25.864154856550297</v>
      </c>
      <c r="AI10" s="66">
        <f t="shared" si="10"/>
        <v>8.032128514057213E-4</v>
      </c>
      <c r="AJ10" s="66">
        <f t="shared" si="10"/>
        <v>0.33911829243965691</v>
      </c>
    </row>
    <row r="11" spans="1:36" x14ac:dyDescent="0.25">
      <c r="A11" s="10" t="s">
        <v>586</v>
      </c>
      <c r="B11" s="43" t="s">
        <v>587</v>
      </c>
      <c r="C11" s="30">
        <v>55.98</v>
      </c>
      <c r="D11" s="64">
        <v>3.31</v>
      </c>
      <c r="E11" s="64">
        <v>3.05</v>
      </c>
      <c r="F11" s="11">
        <v>706.02</v>
      </c>
      <c r="G11" s="11">
        <v>136.61000000000001</v>
      </c>
      <c r="H11" s="11">
        <v>800.99</v>
      </c>
      <c r="I11" s="11">
        <v>964.63</v>
      </c>
      <c r="J11" s="38">
        <v>2.0299999999999998</v>
      </c>
      <c r="K11" s="38">
        <v>2.34</v>
      </c>
      <c r="L11" s="50">
        <v>0.22</v>
      </c>
      <c r="M11" s="43" t="s">
        <v>575</v>
      </c>
      <c r="N11" s="65">
        <v>1</v>
      </c>
      <c r="O11" s="65">
        <v>1</v>
      </c>
      <c r="Q11" s="52">
        <f t="shared" si="1"/>
        <v>4.3199909351009884</v>
      </c>
      <c r="R11" s="52">
        <f t="shared" si="2"/>
        <v>3.2844110437190643</v>
      </c>
      <c r="S11" s="52">
        <f t="shared" si="3"/>
        <v>22.326330429690358</v>
      </c>
      <c r="T11" s="52">
        <f t="shared" si="4"/>
        <v>24.641253631481646</v>
      </c>
      <c r="U11" s="14">
        <f t="shared" si="5"/>
        <v>0.20429718223698168</v>
      </c>
      <c r="V11" s="14">
        <f t="shared" si="6"/>
        <v>0.19349310217840857</v>
      </c>
      <c r="Y11" s="2" t="s">
        <v>588</v>
      </c>
      <c r="AE11" s="66">
        <f t="shared" si="7"/>
        <v>4.3199909351009884</v>
      </c>
      <c r="AF11" s="66">
        <f t="shared" si="8"/>
        <v>3.2844110437190643</v>
      </c>
      <c r="AG11" s="66">
        <f t="shared" si="8"/>
        <v>22.326330429690358</v>
      </c>
      <c r="AH11" s="66">
        <f t="shared" si="9"/>
        <v>24.641253631481646</v>
      </c>
      <c r="AI11" s="66">
        <f t="shared" si="10"/>
        <v>0.20429718223698168</v>
      </c>
      <c r="AJ11" s="66">
        <f t="shared" si="10"/>
        <v>0.19349310217840857</v>
      </c>
    </row>
    <row r="12" spans="1:36" x14ac:dyDescent="0.25">
      <c r="A12" s="10" t="s">
        <v>589</v>
      </c>
      <c r="B12" s="43" t="s">
        <v>590</v>
      </c>
      <c r="C12" s="30">
        <v>8.5500000000000007</v>
      </c>
      <c r="D12" s="64">
        <v>0.99399999999999999</v>
      </c>
      <c r="E12" s="64">
        <v>2.12</v>
      </c>
      <c r="F12" s="11">
        <v>2350</v>
      </c>
      <c r="G12" s="11">
        <v>331.9</v>
      </c>
      <c r="H12" s="11">
        <v>2360</v>
      </c>
      <c r="I12" s="11">
        <v>2380</v>
      </c>
      <c r="J12" s="38">
        <v>1.04</v>
      </c>
      <c r="K12" s="38">
        <v>1.32</v>
      </c>
      <c r="L12" s="50">
        <v>0</v>
      </c>
      <c r="M12" s="43" t="s">
        <v>591</v>
      </c>
      <c r="N12" s="65">
        <v>1</v>
      </c>
      <c r="O12" s="65">
        <v>1</v>
      </c>
      <c r="Q12" s="52">
        <f t="shared" si="1"/>
        <v>0.90212765957446805</v>
      </c>
      <c r="R12" s="52">
        <f t="shared" si="2"/>
        <v>0.89075630252100846</v>
      </c>
      <c r="S12" s="52">
        <f t="shared" si="3"/>
        <v>6.3874661042482677</v>
      </c>
      <c r="T12" s="52">
        <f t="shared" si="4"/>
        <v>6.4772727272727275</v>
      </c>
      <c r="U12" s="14">
        <f t="shared" si="5"/>
        <v>8.4745762711864181E-3</v>
      </c>
      <c r="V12" s="14">
        <f t="shared" si="6"/>
        <v>0.14123404255319147</v>
      </c>
      <c r="Y12" s="2" t="s">
        <v>592</v>
      </c>
      <c r="AE12" s="66">
        <f t="shared" si="7"/>
        <v>0.90212765957446805</v>
      </c>
      <c r="AF12" s="66">
        <f t="shared" si="8"/>
        <v>0.89075630252100846</v>
      </c>
      <c r="AG12" s="66">
        <f t="shared" si="8"/>
        <v>6.3874661042482677</v>
      </c>
      <c r="AH12" s="66">
        <f t="shared" si="9"/>
        <v>6.4772727272727275</v>
      </c>
      <c r="AI12" s="66">
        <f t="shared" si="10"/>
        <v>8.4745762711864181E-3</v>
      </c>
      <c r="AJ12" s="66">
        <f t="shared" si="10"/>
        <v>0.14123404255319147</v>
      </c>
    </row>
    <row r="13" spans="1:36" x14ac:dyDescent="0.25">
      <c r="A13" s="10" t="s">
        <v>593</v>
      </c>
      <c r="B13" s="43" t="s">
        <v>594</v>
      </c>
      <c r="C13" s="30">
        <v>19.27</v>
      </c>
      <c r="D13" s="64">
        <v>6.98</v>
      </c>
      <c r="E13" s="64">
        <v>12.31</v>
      </c>
      <c r="F13" s="11">
        <v>6740</v>
      </c>
      <c r="G13" s="11">
        <v>1340</v>
      </c>
      <c r="H13" s="11">
        <v>6840</v>
      </c>
      <c r="I13" s="11">
        <v>7080</v>
      </c>
      <c r="J13" s="38">
        <v>1.31</v>
      </c>
      <c r="K13" s="38">
        <v>1.49</v>
      </c>
      <c r="L13" s="50">
        <v>0.22</v>
      </c>
      <c r="M13" s="43" t="s">
        <v>575</v>
      </c>
      <c r="N13" s="65">
        <v>1</v>
      </c>
      <c r="O13" s="65">
        <v>1</v>
      </c>
      <c r="Q13" s="52">
        <f t="shared" si="1"/>
        <v>1.8264094955489614</v>
      </c>
      <c r="R13" s="52">
        <f t="shared" si="2"/>
        <v>1.751764571948998</v>
      </c>
      <c r="S13" s="52">
        <f t="shared" si="3"/>
        <v>9.1865671641791042</v>
      </c>
      <c r="T13" s="52">
        <f t="shared" si="4"/>
        <v>13.285990071704356</v>
      </c>
      <c r="U13" s="14">
        <f t="shared" si="5"/>
        <v>3.5087719298245723E-2</v>
      </c>
      <c r="V13" s="14">
        <f t="shared" si="6"/>
        <v>0.19881305637982197</v>
      </c>
      <c r="Y13" s="2" t="s">
        <v>595</v>
      </c>
      <c r="AE13" s="66">
        <f t="shared" si="7"/>
        <v>1.8264094955489614</v>
      </c>
      <c r="AF13" s="66">
        <f t="shared" si="8"/>
        <v>1.751764571948998</v>
      </c>
      <c r="AG13" s="66">
        <f t="shared" si="8"/>
        <v>9.1865671641791042</v>
      </c>
      <c r="AH13" s="66">
        <f t="shared" si="9"/>
        <v>13.285990071704356</v>
      </c>
      <c r="AI13" s="66">
        <f t="shared" si="10"/>
        <v>3.5087719298245723E-2</v>
      </c>
      <c r="AJ13" s="66">
        <f t="shared" si="10"/>
        <v>0.19881305637982197</v>
      </c>
    </row>
    <row r="14" spans="1:36" x14ac:dyDescent="0.25">
      <c r="A14" s="10" t="s">
        <v>596</v>
      </c>
      <c r="B14" s="43" t="s">
        <v>597</v>
      </c>
      <c r="C14" s="30">
        <v>9.9600000000000009</v>
      </c>
      <c r="D14" s="64">
        <v>0.88100000000000001</v>
      </c>
      <c r="E14" s="64">
        <v>1.21</v>
      </c>
      <c r="F14" s="11">
        <v>1390</v>
      </c>
      <c r="G14" s="11">
        <v>217.48</v>
      </c>
      <c r="H14" s="11">
        <v>1350</v>
      </c>
      <c r="I14" s="11">
        <v>1260</v>
      </c>
      <c r="J14" s="38">
        <v>1.65</v>
      </c>
      <c r="K14" s="38">
        <v>1.7</v>
      </c>
      <c r="L14" s="50">
        <v>0</v>
      </c>
      <c r="M14" s="43" t="s">
        <v>598</v>
      </c>
      <c r="N14" s="65">
        <v>1</v>
      </c>
      <c r="O14" s="65">
        <v>1</v>
      </c>
      <c r="Q14" s="52">
        <f t="shared" si="1"/>
        <v>0.87050359712230219</v>
      </c>
      <c r="R14" s="52">
        <f t="shared" si="2"/>
        <v>0.96031746031746035</v>
      </c>
      <c r="S14" s="52">
        <f t="shared" si="3"/>
        <v>5.5637299981607509</v>
      </c>
      <c r="T14" s="52">
        <f t="shared" si="4"/>
        <v>5.8588235294117652</v>
      </c>
      <c r="U14" s="14">
        <f t="shared" si="5"/>
        <v>-6.6666666666666652E-2</v>
      </c>
      <c r="V14" s="14">
        <f t="shared" si="6"/>
        <v>0.15646043165467624</v>
      </c>
      <c r="Y14" s="2" t="s">
        <v>599</v>
      </c>
      <c r="AE14" s="66">
        <f t="shared" si="7"/>
        <v>0.87050359712230219</v>
      </c>
      <c r="AF14" s="66">
        <f t="shared" si="8"/>
        <v>0.96031746031746035</v>
      </c>
      <c r="AG14" s="66">
        <f t="shared" si="8"/>
        <v>5.5637299981607509</v>
      </c>
      <c r="AH14" s="66">
        <f t="shared" si="9"/>
        <v>5.8588235294117652</v>
      </c>
      <c r="AI14" s="66">
        <f t="shared" si="10"/>
        <v>-6.6666666666666652E-2</v>
      </c>
      <c r="AJ14" s="66">
        <f t="shared" si="10"/>
        <v>0.15646043165467624</v>
      </c>
    </row>
    <row r="15" spans="1:36" x14ac:dyDescent="0.25">
      <c r="A15" s="3" t="s">
        <v>600</v>
      </c>
    </row>
    <row r="16" spans="1:36" x14ac:dyDescent="0.25">
      <c r="A16" s="67" t="s">
        <v>601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9">
        <f t="shared" ref="Q16:V16" si="11">MAX(AE$7:AE$14)</f>
        <v>8.9370932754880688</v>
      </c>
      <c r="R16" s="69">
        <f t="shared" si="11"/>
        <v>8.3124628746648686</v>
      </c>
      <c r="S16" s="69">
        <f t="shared" si="11"/>
        <v>28.122866894197951</v>
      </c>
      <c r="T16" s="69">
        <f t="shared" si="11"/>
        <v>34.326953247568248</v>
      </c>
      <c r="U16" s="70">
        <f t="shared" si="11"/>
        <v>0.20429718223698168</v>
      </c>
      <c r="V16" s="70">
        <f t="shared" si="11"/>
        <v>0.33911829243965691</v>
      </c>
    </row>
    <row r="17" spans="1:25" x14ac:dyDescent="0.25">
      <c r="A17" s="67" t="s">
        <v>602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9">
        <f t="shared" ref="Q17:V17" si="12">PERCENTILE(AE$7:AE$14,0.75)</f>
        <v>6.2914536762079845</v>
      </c>
      <c r="R17" s="69">
        <f t="shared" si="12"/>
        <v>4.4335820169362457</v>
      </c>
      <c r="S17" s="69">
        <f t="shared" si="12"/>
        <v>23.346106391315768</v>
      </c>
      <c r="T17" s="69">
        <f t="shared" si="12"/>
        <v>24.94697893774881</v>
      </c>
      <c r="U17" s="70">
        <f t="shared" si="12"/>
        <v>0.10627311800990874</v>
      </c>
      <c r="V17" s="70">
        <f t="shared" si="12"/>
        <v>0.25830023751745979</v>
      </c>
    </row>
    <row r="18" spans="1:25" x14ac:dyDescent="0.25">
      <c r="A18" s="67" t="s">
        <v>603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71">
        <f t="shared" ref="Q18:V18" si="13">MEDIAN(AE$7:AE$14)</f>
        <v>2.171722312703583</v>
      </c>
      <c r="R18" s="71">
        <f t="shared" si="13"/>
        <v>2.3669724742575484</v>
      </c>
      <c r="S18" s="71">
        <f t="shared" si="13"/>
        <v>11.129368805425143</v>
      </c>
      <c r="T18" s="71">
        <f t="shared" si="13"/>
        <v>14.005714150559019</v>
      </c>
      <c r="U18" s="72">
        <f t="shared" si="13"/>
        <v>3.0080361511976572E-2</v>
      </c>
      <c r="V18" s="72">
        <f t="shared" si="13"/>
        <v>0.1951343648208469</v>
      </c>
    </row>
    <row r="19" spans="1:25" x14ac:dyDescent="0.25">
      <c r="A19" s="67" t="s">
        <v>604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9">
        <f t="shared" ref="Q19:V19" si="14">PERCENTILE(AE$7:AE$14,0.25)</f>
        <v>1.3642685775617147</v>
      </c>
      <c r="R19" s="69">
        <f t="shared" si="14"/>
        <v>1.5539027940411136</v>
      </c>
      <c r="S19" s="69">
        <f t="shared" si="14"/>
        <v>7.7870166342136855</v>
      </c>
      <c r="T19" s="69">
        <f t="shared" si="14"/>
        <v>11.534746891651867</v>
      </c>
      <c r="U19" s="70">
        <f t="shared" si="14"/>
        <v>6.5567354162412439E-3</v>
      </c>
      <c r="V19" s="70">
        <f t="shared" si="14"/>
        <v>0.1749767669165424</v>
      </c>
    </row>
    <row r="20" spans="1:25" x14ac:dyDescent="0.25">
      <c r="A20" s="67" t="s">
        <v>605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9">
        <f t="shared" ref="Q20:V20" si="15">MIN(AE$7:AE$14)</f>
        <v>0.87050359712230219</v>
      </c>
      <c r="R20" s="69">
        <f t="shared" si="15"/>
        <v>0.89075630252100846</v>
      </c>
      <c r="S20" s="69">
        <f t="shared" si="15"/>
        <v>5.5637299981607509</v>
      </c>
      <c r="T20" s="69">
        <f t="shared" si="15"/>
        <v>5.8588235294117652</v>
      </c>
      <c r="U20" s="70">
        <f t="shared" si="15"/>
        <v>-6.6666666666666652E-2</v>
      </c>
      <c r="V20" s="70">
        <f t="shared" si="15"/>
        <v>0.14123404255319147</v>
      </c>
    </row>
    <row r="22" spans="1:25" x14ac:dyDescent="0.25">
      <c r="A22" s="73" t="s">
        <v>606</v>
      </c>
      <c r="B22" s="74" t="s">
        <v>607</v>
      </c>
      <c r="C22" s="75">
        <f>'DCF Inputs'!$C$38</f>
        <v>28.36</v>
      </c>
      <c r="D22" s="76">
        <f>'DCF Inputs'!$C$40/1000</f>
        <v>7.1762144000000001</v>
      </c>
      <c r="E22" s="76">
        <f>('DCF Inputs'!$C$40+MAX('DCF Inputs'!$C$45,'DCF Inputs'!$C$46*'DCF Inputs'!$C$38)+'DCF Inputs'!$C$48+'DCF Inputs'!$C$41-'DCF Inputs'!$C$42+'DCF Inputs'!$C$51)/1000</f>
        <v>8.4375143999999995</v>
      </c>
      <c r="F22" s="77">
        <v>3047.3</v>
      </c>
      <c r="G22" s="77">
        <v>719.2</v>
      </c>
      <c r="H22" s="78">
        <f>'Income Statement'!G7</f>
        <v>3141.8100000000004</v>
      </c>
      <c r="I22" s="78">
        <f>'Income Statement'!H7</f>
        <v>3354.5465500000005</v>
      </c>
      <c r="J22" s="79">
        <f>'Income Statement'!G58</f>
        <v>1.4691938730443583</v>
      </c>
      <c r="K22" s="79">
        <f>'Income Statement'!H58</f>
        <v>1.7354735537048434</v>
      </c>
      <c r="L22" s="80">
        <v>0.22</v>
      </c>
      <c r="M22" s="74" t="s">
        <v>575</v>
      </c>
      <c r="N22" s="81"/>
      <c r="O22" s="81"/>
      <c r="P22" s="81"/>
      <c r="Q22" s="82">
        <f>E22*1000/F22</f>
        <v>2.7688492764086239</v>
      </c>
      <c r="R22" s="82">
        <f>E22*1000/(L22*H22+(1-L22)*I22)</f>
        <v>2.550836189748777</v>
      </c>
      <c r="S22" s="82">
        <f>E22*1000/G22</f>
        <v>11.731805339265851</v>
      </c>
      <c r="T22" s="82">
        <f>C22/(L22*J22+(1-L22)*K22)</f>
        <v>16.912239783355499</v>
      </c>
      <c r="U22" s="83">
        <f>I22/H22-1</f>
        <v>6.7711462500915198E-2</v>
      </c>
      <c r="V22" s="83">
        <f>G22/F22</f>
        <v>0.23601220752797558</v>
      </c>
      <c r="Y22" s="2" t="s">
        <v>608</v>
      </c>
    </row>
    <row r="23" spans="1:25" x14ac:dyDescent="0.25">
      <c r="A23" s="10" t="s">
        <v>609</v>
      </c>
      <c r="Q23" s="14">
        <f>Q22/Q18-1</f>
        <v>0.27495548588883634</v>
      </c>
      <c r="R23" s="14">
        <f>R22/R18-1</f>
        <v>7.76788566368527E-2</v>
      </c>
      <c r="S23" s="14">
        <f>S22/S18-1</f>
        <v>5.4130341475164601E-2</v>
      </c>
      <c r="T23" s="14">
        <f>T22/T18-1</f>
        <v>0.2075242719901198</v>
      </c>
    </row>
    <row r="25" spans="1:25" x14ac:dyDescent="0.25">
      <c r="A25" s="8" t="s">
        <v>610</v>
      </c>
      <c r="B25" s="9"/>
      <c r="C25" s="9"/>
      <c r="D25" s="9"/>
      <c r="E25" s="9"/>
      <c r="F25" s="9"/>
      <c r="G25" s="9"/>
      <c r="H25" s="9"/>
      <c r="I25" s="9"/>
    </row>
    <row r="26" spans="1:25" ht="26.25" x14ac:dyDescent="0.25">
      <c r="A26" s="47" t="s">
        <v>611</v>
      </c>
      <c r="B26" s="47" t="s">
        <v>612</v>
      </c>
      <c r="C26" s="47" t="s">
        <v>613</v>
      </c>
      <c r="D26" s="47" t="s">
        <v>603</v>
      </c>
      <c r="E26" s="47" t="s">
        <v>614</v>
      </c>
      <c r="F26" s="47" t="s">
        <v>615</v>
      </c>
      <c r="G26" s="47" t="s">
        <v>616</v>
      </c>
      <c r="H26" s="47" t="s">
        <v>617</v>
      </c>
    </row>
    <row r="27" spans="1:25" x14ac:dyDescent="0.25">
      <c r="A27" s="10" t="s">
        <v>618</v>
      </c>
      <c r="B27" s="12">
        <f>G22</f>
        <v>719.2</v>
      </c>
      <c r="C27" s="52">
        <f>S19</f>
        <v>7.7870166342136855</v>
      </c>
      <c r="D27" s="52">
        <f>S18</f>
        <v>11.129368805425143</v>
      </c>
      <c r="E27" s="52">
        <f>S17</f>
        <v>23.346106391315768</v>
      </c>
      <c r="F27" s="53">
        <f>IF((((C27*$B27)+DCF!$C$65-DCF!$C$66-DCF!$C$67)-DCF!$C$74)/(DCF!$C$69+DCF!$C$70)&gt;DCF!$C$72,IF(((C27*$B27)+DCF!$C$65-DCF!$C$66-DCF!$C$67)/(DCF!$C$69+DCF!$C$70+DCF!$C$73)&gt;DCF!$C$75,((C27*$B27)+DCF!$C$65-DCF!$C$66-DCF!$C$67)/(DCF!$C$69+DCF!$C$70+DCF!$C$73),(((C27*$B27)+DCF!$C$65-DCF!$C$66-DCF!$C$67)-DCF!$C$74)/(DCF!$C$69+DCF!$C$70)),(((C27*$B27)+DCF!$C$65-DCF!$C$66-DCF!$C$67)-DCF!$C$74-DCF!$C$71)/DCF!$C$69)</f>
        <v>17.269477824710346</v>
      </c>
      <c r="G27" s="53">
        <f>IF((((D27*$B27)+DCF!$C$65-DCF!$C$66-DCF!$C$67)-DCF!$C$74)/(DCF!$C$69+DCF!$C$70)&gt;DCF!$C$72,IF(((D27*$B27)+DCF!$C$65-DCF!$C$66-DCF!$C$67)/(DCF!$C$69+DCF!$C$70+DCF!$C$73)&gt;DCF!$C$75,((D27*$B27)+DCF!$C$65-DCF!$C$66-DCF!$C$67)/(DCF!$C$69+DCF!$C$70+DCF!$C$73),(((D27*$B27)+DCF!$C$65-DCF!$C$66-DCF!$C$67)-DCF!$C$74)/(DCF!$C$69+DCF!$C$70)),(((D27*$B27)+DCF!$C$65-DCF!$C$66-DCF!$C$67)-DCF!$C$74-DCF!$C$71)/DCF!$C$69)</f>
        <v>26.543424532902513</v>
      </c>
      <c r="H27" s="53">
        <f>IF((((E27*$B27)+DCF!$C$65-DCF!$C$66-DCF!$C$67)-DCF!$C$74)/(DCF!$C$69+DCF!$C$70)&gt;DCF!$C$72,IF(((E27*$B27)+DCF!$C$65-DCF!$C$66-DCF!$C$67)/(DCF!$C$69+DCF!$C$70+DCF!$C$73)&gt;DCF!$C$75,((E27*$B27)+DCF!$C$65-DCF!$C$66-DCF!$C$67)/(DCF!$C$69+DCF!$C$70+DCF!$C$73),(((E27*$B27)+DCF!$C$65-DCF!$C$66-DCF!$C$67)-DCF!$C$74)/(DCF!$C$69+DCF!$C$70)),(((E27*$B27)+DCF!$C$65-DCF!$C$66-DCF!$C$67)-DCF!$C$74-DCF!$C$71)/DCF!$C$69)</f>
        <v>57.948718743108074</v>
      </c>
    </row>
    <row r="28" spans="1:25" x14ac:dyDescent="0.25">
      <c r="A28" s="10" t="s">
        <v>619</v>
      </c>
      <c r="B28" s="12">
        <f>(L22*H22+(1-L22)*I22)</f>
        <v>3307.7445090000001</v>
      </c>
      <c r="C28" s="52">
        <f>R19</f>
        <v>1.5539027940411136</v>
      </c>
      <c r="D28" s="52">
        <f>R18</f>
        <v>2.3669724742575484</v>
      </c>
      <c r="E28" s="52">
        <f>R17</f>
        <v>4.4335820169362457</v>
      </c>
      <c r="F28" s="53">
        <f>IF((((C28*$B28)+DCF!$C$65-DCF!$C$66-DCF!$C$67)-DCF!$C$74)/(DCF!$C$69+DCF!$C$70)&gt;DCF!$C$72,IF(((C28*$B28)+DCF!$C$65-DCF!$C$66-DCF!$C$67)/(DCF!$C$69+DCF!$C$70+DCF!$C$73)&gt;DCF!$C$75,((C28*$B28)+DCF!$C$65-DCF!$C$66-DCF!$C$67)/(DCF!$C$69+DCF!$C$70+DCF!$C$73),(((C28*$B28)+DCF!$C$65-DCF!$C$66-DCF!$C$67)-DCF!$C$74)/(DCF!$C$69+DCF!$C$70)),(((C28*$B28)+DCF!$C$65-DCF!$C$66-DCF!$C$67)-DCF!$C$74-DCF!$C$71)/DCF!$C$69)</f>
        <v>15.467376671007477</v>
      </c>
      <c r="G28" s="53">
        <f>IF((((D28*$B28)+DCF!$C$65-DCF!$C$66-DCF!$C$67)-DCF!$C$74)/(DCF!$C$69+DCF!$C$70)&gt;DCF!$C$72,IF(((D28*$B28)+DCF!$C$65-DCF!$C$66-DCF!$C$67)/(DCF!$C$69+DCF!$C$70+DCF!$C$73)&gt;DCF!$C$75,((D28*$B28)+DCF!$C$65-DCF!$C$66-DCF!$C$67)/(DCF!$C$69+DCF!$C$70+DCF!$C$73),(((D28*$B28)+DCF!$C$65-DCF!$C$66-DCF!$C$67)-DCF!$C$74)/(DCF!$C$69+DCF!$C$70)),(((D28*$B28)+DCF!$C$65-DCF!$C$66-DCF!$C$67)-DCF!$C$74-DCF!$C$71)/DCF!$C$69)</f>
        <v>25.913238468975827</v>
      </c>
      <c r="H28" s="53">
        <f>IF((((E28*$B28)+DCF!$C$65-DCF!$C$66-DCF!$C$67)-DCF!$C$74)/(DCF!$C$69+DCF!$C$70)&gt;DCF!$C$72,IF(((E28*$B28)+DCF!$C$65-DCF!$C$66-DCF!$C$67)/(DCF!$C$69+DCF!$C$70+DCF!$C$73)&gt;DCF!$C$75,((E28*$B28)+DCF!$C$65-DCF!$C$66-DCF!$C$67)/(DCF!$C$69+DCF!$C$70+DCF!$C$73),(((E28*$B28)+DCF!$C$65-DCF!$C$66-DCF!$C$67)-DCF!$C$74)/(DCF!$C$69+DCF!$C$70)),(((E28*$B28)+DCF!$C$65-DCF!$C$66-DCF!$C$67)-DCF!$C$74-DCF!$C$71)/DCF!$C$69)</f>
        <v>50.543260689349331</v>
      </c>
    </row>
    <row r="29" spans="1:25" x14ac:dyDescent="0.25">
      <c r="A29" s="10" t="s">
        <v>620</v>
      </c>
      <c r="B29" s="22">
        <f>(L22*J22+(1-L22)*K22)</f>
        <v>1.6768920239595366</v>
      </c>
      <c r="C29" s="52">
        <f>T19</f>
        <v>11.534746891651867</v>
      </c>
      <c r="D29" s="52">
        <f>T18</f>
        <v>14.005714150559019</v>
      </c>
      <c r="E29" s="52">
        <f>T17</f>
        <v>24.94697893774881</v>
      </c>
      <c r="F29" s="41">
        <f>C29*$B29</f>
        <v>19.342525061003073</v>
      </c>
      <c r="G29" s="41">
        <f>D29*$B29</f>
        <v>23.486070348929637</v>
      </c>
      <c r="H29" s="41">
        <f>E29*$B29</f>
        <v>41.833390002597532</v>
      </c>
    </row>
    <row r="30" spans="1:25" x14ac:dyDescent="0.25">
      <c r="A30" s="2" t="s">
        <v>621</v>
      </c>
    </row>
    <row r="32" spans="1:25" x14ac:dyDescent="0.25">
      <c r="A32" s="8" t="s">
        <v>622</v>
      </c>
      <c r="B32" s="9"/>
      <c r="C32" s="9"/>
      <c r="D32" s="9"/>
      <c r="E32" s="9"/>
      <c r="F32" s="9"/>
      <c r="G32" s="9"/>
      <c r="H32" s="9"/>
      <c r="I32" s="9"/>
    </row>
    <row r="33" spans="1:10" x14ac:dyDescent="0.25">
      <c r="A33" s="47" t="s">
        <v>611</v>
      </c>
      <c r="B33" s="47" t="s">
        <v>623</v>
      </c>
      <c r="C33" s="47" t="s">
        <v>334</v>
      </c>
      <c r="D33" s="47" t="s">
        <v>624</v>
      </c>
      <c r="F33" s="47" t="s">
        <v>625</v>
      </c>
      <c r="G33" s="47" t="s">
        <v>626</v>
      </c>
      <c r="H33" s="47" t="s">
        <v>627</v>
      </c>
    </row>
    <row r="34" spans="1:10" x14ac:dyDescent="0.25">
      <c r="A34" s="10" t="s">
        <v>628</v>
      </c>
      <c r="B34" s="49">
        <v>11</v>
      </c>
      <c r="C34" s="49">
        <v>13.5</v>
      </c>
      <c r="D34" s="49">
        <v>16</v>
      </c>
      <c r="F34" s="53">
        <f>IF((((B34*G22)+DCF!$C$65-DCF!$C$66-DCF!$C$67)-DCF!$C$74)/(DCF!$C$69+DCF!$C$70)&gt;DCF!$C$72,IF(((B34*G22)+DCF!$C$65-DCF!$C$66-DCF!$C$67)/(DCF!$C$69+DCF!$C$70+DCF!$C$73)&gt;DCF!$C$75,((B34*G22)+DCF!$C$65-DCF!$C$66-DCF!$C$67)/(DCF!$C$69+DCF!$C$70+DCF!$C$73),(((B34*G22)+DCF!$C$65-DCF!$C$66-DCF!$C$67)-DCF!$C$74)/(DCF!$C$69+DCF!$C$70)),(((B34*G22)+DCF!$C$65-DCF!$C$66-DCF!$C$67)-DCF!$C$74-DCF!$C$71)/DCF!$C$69)</f>
        <v>26.208186207393531</v>
      </c>
      <c r="G34" s="53">
        <f>IF((((C34*G22)+DCF!$C$65-DCF!$C$66-DCF!$C$67)-DCF!$C$74)/(DCF!$C$69+DCF!$C$70)&gt;DCF!$C$72,IF(((C34*G22)+DCF!$C$65-DCF!$C$66-DCF!$C$67)/(DCF!$C$69+DCF!$C$70+DCF!$C$73)&gt;DCF!$C$75,((C34*G22)+DCF!$C$65-DCF!$C$66-DCF!$C$67)/(DCF!$C$69+DCF!$C$70+DCF!$C$73),(((C34*G22)+DCF!$C$65-DCF!$C$66-DCF!$C$67)-DCF!$C$74)/(DCF!$C$69+DCF!$C$70)),(((C34*G22)+DCF!$C$65-DCF!$C$66-DCF!$C$67)-DCF!$C$74-DCF!$C$71)/DCF!$C$69)</f>
        <v>32.686531671110473</v>
      </c>
      <c r="H34" s="53">
        <f>IF((((D34*G22)+DCF!$C$65-DCF!$C$66-DCF!$C$67)-DCF!$C$74)/(DCF!$C$69+DCF!$C$70)&gt;DCF!$C$72,IF(((D34*G22)+DCF!$C$65-DCF!$C$66-DCF!$C$67)/(DCF!$C$69+DCF!$C$70+DCF!$C$73)&gt;DCF!$C$75,((D34*G22)+DCF!$C$65-DCF!$C$66-DCF!$C$67)/(DCF!$C$69+DCF!$C$70+DCF!$C$73),(((D34*G22)+DCF!$C$65-DCF!$C$66-DCF!$C$67)-DCF!$C$74)/(DCF!$C$69+DCF!$C$70)),(((D34*G22)+DCF!$C$65-DCF!$C$66-DCF!$C$67)-DCF!$C$74-DCF!$C$71)/DCF!$C$69)</f>
        <v>39.164877134827414</v>
      </c>
    </row>
    <row r="35" spans="1:10" x14ac:dyDescent="0.25">
      <c r="A35" s="10" t="s">
        <v>629</v>
      </c>
      <c r="B35" s="49">
        <v>14</v>
      </c>
      <c r="C35" s="49">
        <v>17</v>
      </c>
      <c r="D35" s="49">
        <v>20</v>
      </c>
      <c r="F35" s="41">
        <f>B35*(L22*J22+(1-L22)*K22)</f>
        <v>23.476488335433512</v>
      </c>
      <c r="G35" s="41">
        <f>C35*(L22*J22+(1-L22)*K22)</f>
        <v>28.507164407312121</v>
      </c>
      <c r="H35" s="41">
        <f>D35*(L22*J22+(1-L22)*K22)</f>
        <v>33.537840479190734</v>
      </c>
    </row>
    <row r="36" spans="1:10" x14ac:dyDescent="0.25">
      <c r="A36" s="3" t="s">
        <v>630</v>
      </c>
      <c r="F36" s="84">
        <f>AVERAGE(F34:F35)</f>
        <v>24.84233727141352</v>
      </c>
      <c r="G36" s="84">
        <f>AVERAGE(G34:G35)</f>
        <v>30.596848039211295</v>
      </c>
      <c r="H36" s="84">
        <f>AVERAGE(H34:H35)</f>
        <v>36.351358807009078</v>
      </c>
    </row>
    <row r="37" spans="1:10" x14ac:dyDescent="0.25">
      <c r="A37" s="2" t="s">
        <v>631</v>
      </c>
    </row>
    <row r="38" spans="1:10" x14ac:dyDescent="0.25">
      <c r="A38" s="2" t="s">
        <v>632</v>
      </c>
    </row>
    <row r="39" spans="1:10" x14ac:dyDescent="0.25">
      <c r="A39" s="2" t="s">
        <v>633</v>
      </c>
    </row>
    <row r="40" spans="1:10" x14ac:dyDescent="0.25">
      <c r="A40" s="2" t="s">
        <v>634</v>
      </c>
    </row>
    <row r="41" spans="1:10" x14ac:dyDescent="0.25">
      <c r="A41" s="2" t="s">
        <v>635</v>
      </c>
    </row>
    <row r="43" spans="1:10" x14ac:dyDescent="0.25">
      <c r="A43" s="8" t="s">
        <v>636</v>
      </c>
      <c r="B43" s="9"/>
      <c r="C43" s="9"/>
      <c r="D43" s="9"/>
      <c r="E43" s="9"/>
      <c r="F43" s="9"/>
      <c r="G43" s="9"/>
      <c r="H43" s="9"/>
      <c r="I43" s="9"/>
    </row>
    <row r="44" spans="1:10" ht="39" x14ac:dyDescent="0.25">
      <c r="A44" s="47" t="s">
        <v>637</v>
      </c>
      <c r="B44" s="47" t="s">
        <v>638</v>
      </c>
      <c r="C44" s="47" t="s">
        <v>639</v>
      </c>
      <c r="D44" s="47" t="s">
        <v>640</v>
      </c>
      <c r="E44" s="47" t="s">
        <v>641</v>
      </c>
      <c r="F44" s="47" t="s">
        <v>642</v>
      </c>
      <c r="G44" s="47" t="s">
        <v>565</v>
      </c>
    </row>
    <row r="45" spans="1:10" x14ac:dyDescent="0.25">
      <c r="A45" s="10" t="s">
        <v>643</v>
      </c>
      <c r="B45" s="43" t="s">
        <v>644</v>
      </c>
      <c r="C45" s="11">
        <v>1650</v>
      </c>
      <c r="D45" s="11">
        <v>595</v>
      </c>
      <c r="E45" s="52">
        <f>C45/D45</f>
        <v>2.7731092436974789</v>
      </c>
      <c r="F45" s="85">
        <v>19</v>
      </c>
      <c r="G45" s="65">
        <v>1</v>
      </c>
      <c r="J45" s="2" t="s">
        <v>645</v>
      </c>
    </row>
    <row r="46" spans="1:10" x14ac:dyDescent="0.25">
      <c r="A46" s="10" t="s">
        <v>646</v>
      </c>
      <c r="B46" s="43" t="s">
        <v>647</v>
      </c>
      <c r="C46" s="11">
        <v>6600</v>
      </c>
      <c r="E46" s="85">
        <v>6.7</v>
      </c>
      <c r="F46" s="43" t="s">
        <v>648</v>
      </c>
      <c r="G46" s="65">
        <v>1</v>
      </c>
      <c r="J46" s="2" t="s">
        <v>649</v>
      </c>
    </row>
    <row r="47" spans="1:10" x14ac:dyDescent="0.25">
      <c r="A47" s="10" t="s">
        <v>650</v>
      </c>
      <c r="B47" s="43" t="s">
        <v>651</v>
      </c>
      <c r="C47" s="11">
        <v>1650</v>
      </c>
      <c r="E47" s="85" t="s">
        <v>648</v>
      </c>
      <c r="F47" s="43" t="s">
        <v>648</v>
      </c>
      <c r="G47" s="65">
        <v>0</v>
      </c>
      <c r="J47" s="2" t="s">
        <v>652</v>
      </c>
    </row>
    <row r="48" spans="1:10" x14ac:dyDescent="0.25">
      <c r="A48" s="10" t="s">
        <v>653</v>
      </c>
      <c r="B48" s="43" t="s">
        <v>654</v>
      </c>
      <c r="C48" s="11">
        <v>1650</v>
      </c>
      <c r="E48" s="85" t="s">
        <v>648</v>
      </c>
      <c r="F48" s="43" t="s">
        <v>648</v>
      </c>
      <c r="G48" s="65">
        <v>0</v>
      </c>
      <c r="J48" s="2" t="s">
        <v>655</v>
      </c>
    </row>
    <row r="49" spans="1:10" x14ac:dyDescent="0.25">
      <c r="A49" s="10" t="s">
        <v>656</v>
      </c>
      <c r="B49" s="43" t="s">
        <v>657</v>
      </c>
      <c r="C49" s="11">
        <v>3850</v>
      </c>
      <c r="E49" s="85" t="s">
        <v>648</v>
      </c>
      <c r="F49" s="43" t="s">
        <v>648</v>
      </c>
      <c r="G49" s="65">
        <v>0</v>
      </c>
      <c r="J49" s="2" t="s">
        <v>658</v>
      </c>
    </row>
    <row r="50" spans="1:10" x14ac:dyDescent="0.25">
      <c r="A50" s="3" t="s">
        <v>659</v>
      </c>
      <c r="E50" s="86">
        <f>MEDIAN(E45:E49)</f>
        <v>4.7365546218487395</v>
      </c>
    </row>
    <row r="51" spans="1:10" x14ac:dyDescent="0.25">
      <c r="A51" s="10" t="s">
        <v>660</v>
      </c>
      <c r="C51" s="12">
        <f>F22</f>
        <v>3047.3</v>
      </c>
      <c r="E51" s="52">
        <f>Q22</f>
        <v>2.7688492764086239</v>
      </c>
    </row>
    <row r="53" spans="1:10" ht="26.25" x14ac:dyDescent="0.25">
      <c r="A53" s="47" t="s">
        <v>661</v>
      </c>
      <c r="B53" s="47" t="s">
        <v>623</v>
      </c>
      <c r="C53" s="47" t="s">
        <v>334</v>
      </c>
      <c r="D53" s="47" t="s">
        <v>624</v>
      </c>
      <c r="F53" s="47" t="s">
        <v>625</v>
      </c>
      <c r="G53" s="47" t="s">
        <v>626</v>
      </c>
      <c r="H53" s="47" t="s">
        <v>627</v>
      </c>
    </row>
    <row r="54" spans="1:10" x14ac:dyDescent="0.25">
      <c r="A54" s="10" t="s">
        <v>662</v>
      </c>
      <c r="B54" s="49">
        <v>2.8</v>
      </c>
      <c r="C54" s="49">
        <v>3.4</v>
      </c>
      <c r="D54" s="49">
        <v>4</v>
      </c>
      <c r="F54" s="54">
        <f>IF((((B54*$C$51)+DCF!$C$65-DCF!$C$66-DCF!$C$67)-DCF!$C$74)/(DCF!$C$69+DCF!$C$70)&gt;DCF!$C$72,IF(((B54*$C$51)+DCF!$C$65-DCF!$C$66-DCF!$C$67)/(DCF!$C$69+DCF!$C$70+DCF!$C$73)&gt;DCF!$C$75,((B54*$C$51)+DCF!$C$65-DCF!$C$66-DCF!$C$67)/(DCF!$C$69+DCF!$C$70+DCF!$C$73),(((B54*$C$51)+DCF!$C$65-DCF!$C$66-DCF!$C$67)-DCF!$C$74)/(DCF!$C$69+DCF!$C$70)),(((B54*$C$51)+DCF!$C$65-DCF!$C$66-DCF!$C$67)-DCF!$C$74-DCF!$C$71)/DCF!$C$69)</f>
        <v>28.446566260719177</v>
      </c>
      <c r="G54" s="54">
        <f>IF((((C54*$C$51)+DCF!$C$65-DCF!$C$66-DCF!$C$67)-DCF!$C$74)/(DCF!$C$69+DCF!$C$70)&gt;DCF!$C$72,IF(((C54*$C$51)+DCF!$C$65-DCF!$C$66-DCF!$C$67)/(DCF!$C$69+DCF!$C$70+DCF!$C$73)&gt;DCF!$C$75,((C54*$C$51)+DCF!$C$65-DCF!$C$66-DCF!$C$67)/(DCF!$C$69+DCF!$C$70+DCF!$C$73),(((C54*$C$51)+DCF!$C$65-DCF!$C$66-DCF!$C$67)-DCF!$C$74)/(DCF!$C$69+DCF!$C$70)),(((C54*$C$51)+DCF!$C$65-DCF!$C$66-DCF!$C$67)-DCF!$C$74-DCF!$C$71)/DCF!$C$69)</f>
        <v>35.034373423650642</v>
      </c>
      <c r="H54" s="54">
        <f>IF((((D54*$C$51)+DCF!$C$65-DCF!$C$66-DCF!$C$67)-DCF!$C$74)/(DCF!$C$69+DCF!$C$70)&gt;DCF!$C$72,IF(((D54*$C$51)+DCF!$C$65-DCF!$C$66-DCF!$C$67)/(DCF!$C$69+DCF!$C$70+DCF!$C$73)&gt;DCF!$C$75,((D54*$C$51)+DCF!$C$65-DCF!$C$66-DCF!$C$67)/(DCF!$C$69+DCF!$C$70+DCF!$C$73),(((D54*$C$51)+DCF!$C$65-DCF!$C$66-DCF!$C$67)-DCF!$C$74)/(DCF!$C$69+DCF!$C$70)),(((D54*$C$51)+DCF!$C$65-DCF!$C$66-DCF!$C$67)-DCF!$C$74-DCF!$C$71)/DCF!$C$69)</f>
        <v>41.622180586582118</v>
      </c>
    </row>
    <row r="55" spans="1:10" x14ac:dyDescent="0.25">
      <c r="A55" s="2" t="s">
        <v>663</v>
      </c>
    </row>
    <row r="56" spans="1:10" x14ac:dyDescent="0.25">
      <c r="A56" s="2" t="s">
        <v>664</v>
      </c>
    </row>
    <row r="57" spans="1:10" x14ac:dyDescent="0.25">
      <c r="A57" s="2" t="s">
        <v>665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00000"/>
  </sheetPr>
  <dimension ref="A1:J5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7109375" defaultRowHeight="15" x14ac:dyDescent="0.25"/>
  <cols>
    <col min="1" max="1" width="50" customWidth="1"/>
    <col min="2" max="8" width="13" customWidth="1"/>
    <col min="10" max="10" width="90" customWidth="1"/>
  </cols>
  <sheetData>
    <row r="1" spans="1:10" ht="18" x14ac:dyDescent="0.25">
      <c r="A1" s="1" t="s">
        <v>666</v>
      </c>
    </row>
    <row r="2" spans="1:10" x14ac:dyDescent="0.25">
      <c r="A2" s="2" t="s">
        <v>667</v>
      </c>
    </row>
    <row r="3" spans="1:10" x14ac:dyDescent="0.25">
      <c r="A3" s="3" t="s">
        <v>2</v>
      </c>
      <c r="B3" s="4" t="str">
        <f>CHOOSE(Scenarios!$C$4,"Bull case","Base case","Bear case")</f>
        <v>Base case</v>
      </c>
    </row>
    <row r="5" spans="1:10" x14ac:dyDescent="0.25">
      <c r="A5" s="8" t="s">
        <v>668</v>
      </c>
      <c r="B5" s="9"/>
      <c r="C5" s="9"/>
      <c r="D5" s="9"/>
      <c r="E5" s="9"/>
      <c r="F5" s="9"/>
      <c r="G5" s="9"/>
    </row>
    <row r="6" spans="1:10" x14ac:dyDescent="0.25">
      <c r="A6" s="47" t="s">
        <v>611</v>
      </c>
      <c r="B6" s="47" t="s">
        <v>623</v>
      </c>
      <c r="C6" s="47" t="s">
        <v>334</v>
      </c>
      <c r="D6" s="47" t="s">
        <v>624</v>
      </c>
      <c r="E6" s="47" t="s">
        <v>463</v>
      </c>
      <c r="F6" s="47" t="s">
        <v>669</v>
      </c>
    </row>
    <row r="7" spans="1:10" x14ac:dyDescent="0.25">
      <c r="A7" s="10" t="s">
        <v>670</v>
      </c>
      <c r="B7" s="53">
        <f>Sensitivity!D12</f>
        <v>27.45758868554713</v>
      </c>
      <c r="C7" s="53">
        <f>DCF!C76</f>
        <v>31.115131399249627</v>
      </c>
      <c r="D7" s="53">
        <f>Sensitivity!F10</f>
        <v>35.948066160290118</v>
      </c>
      <c r="E7" s="32">
        <v>0.5</v>
      </c>
      <c r="F7" s="41">
        <f>C7*E7</f>
        <v>15.557565699624814</v>
      </c>
      <c r="J7" s="2" t="s">
        <v>671</v>
      </c>
    </row>
    <row r="8" spans="1:10" x14ac:dyDescent="0.25">
      <c r="A8" s="10" t="s">
        <v>672</v>
      </c>
      <c r="B8" s="53">
        <f>Comps!F36</f>
        <v>24.84233727141352</v>
      </c>
      <c r="C8" s="53">
        <f>Comps!G36</f>
        <v>30.596848039211295</v>
      </c>
      <c r="D8" s="53">
        <f>Comps!H36</f>
        <v>36.351358807009078</v>
      </c>
      <c r="E8" s="32">
        <v>0.4</v>
      </c>
      <c r="F8" s="41">
        <f>C8*E8</f>
        <v>12.238739215684518</v>
      </c>
      <c r="J8" s="2" t="s">
        <v>673</v>
      </c>
    </row>
    <row r="9" spans="1:10" x14ac:dyDescent="0.25">
      <c r="A9" s="10" t="s">
        <v>674</v>
      </c>
      <c r="B9" s="53">
        <f>Comps!F54</f>
        <v>28.446566260719177</v>
      </c>
      <c r="C9" s="53">
        <f>Comps!G54</f>
        <v>35.034373423650642</v>
      </c>
      <c r="D9" s="53">
        <f>Comps!H54</f>
        <v>41.622180586582118</v>
      </c>
      <c r="E9" s="32">
        <v>0.1</v>
      </c>
      <c r="F9" s="41">
        <f>C9*E9</f>
        <v>3.5034373423650642</v>
      </c>
      <c r="J9" s="2" t="s">
        <v>675</v>
      </c>
    </row>
    <row r="10" spans="1:10" x14ac:dyDescent="0.25">
      <c r="A10" s="3" t="s">
        <v>676</v>
      </c>
      <c r="B10" s="87">
        <f>SUMPRODUCT(B7:B9,$E$7:$E$9)</f>
        <v>26.51038587741089</v>
      </c>
      <c r="C10" s="87">
        <f>SUMPRODUCT(C7:C9,$E$7:$E$9)</f>
        <v>31.299742257674396</v>
      </c>
      <c r="D10" s="87">
        <f>SUMPRODUCT(D7:D9,$E$7:$E$9)</f>
        <v>36.676794661606905</v>
      </c>
      <c r="E10" s="19">
        <f>SUM(E7:E9)</f>
        <v>1</v>
      </c>
      <c r="F10" s="87">
        <f>SUM(F7:F9)</f>
        <v>31.299742257674396</v>
      </c>
    </row>
    <row r="12" spans="1:10" x14ac:dyDescent="0.25">
      <c r="A12" s="8" t="s">
        <v>677</v>
      </c>
      <c r="B12" s="9"/>
      <c r="C12" s="9"/>
      <c r="D12" s="9"/>
      <c r="E12" s="9"/>
      <c r="F12" s="9"/>
      <c r="G12" s="9"/>
    </row>
    <row r="13" spans="1:10" x14ac:dyDescent="0.25">
      <c r="A13" s="10" t="s">
        <v>678</v>
      </c>
      <c r="C13" s="53">
        <f>'DCF Inputs'!$C$38</f>
        <v>28.36</v>
      </c>
    </row>
    <row r="14" spans="1:10" x14ac:dyDescent="0.25">
      <c r="A14" s="3" t="s">
        <v>679</v>
      </c>
      <c r="C14" s="84">
        <f>ROUND(C10,0)</f>
        <v>31</v>
      </c>
    </row>
    <row r="15" spans="1:10" x14ac:dyDescent="0.25">
      <c r="A15" s="3" t="s">
        <v>680</v>
      </c>
      <c r="C15" s="19">
        <f>C14/C13-1</f>
        <v>9.3088857545839288E-2</v>
      </c>
    </row>
    <row r="16" spans="1:10" x14ac:dyDescent="0.25">
      <c r="A16" s="10" t="s">
        <v>681</v>
      </c>
      <c r="C16" s="16">
        <v>0.15</v>
      </c>
    </row>
    <row r="17" spans="1:10" x14ac:dyDescent="0.25">
      <c r="A17" s="10" t="s">
        <v>682</v>
      </c>
      <c r="C17" s="16">
        <v>-0.1</v>
      </c>
    </row>
    <row r="18" spans="1:10" x14ac:dyDescent="0.25">
      <c r="A18" s="3" t="s">
        <v>683</v>
      </c>
      <c r="C18" s="88" t="str">
        <f>IF(C15&gt;C16,"BUY",IF(C15&lt;C17,"SELL","HOLD"))</f>
        <v>HOLD</v>
      </c>
    </row>
    <row r="19" spans="1:10" x14ac:dyDescent="0.25">
      <c r="A19" s="10" t="s">
        <v>684</v>
      </c>
      <c r="C19" s="53">
        <f>'DCF Inputs'!$C$53</f>
        <v>42.19</v>
      </c>
    </row>
    <row r="20" spans="1:10" x14ac:dyDescent="0.25">
      <c r="A20" s="10" t="s">
        <v>685</v>
      </c>
      <c r="C20" s="14">
        <f>C14/C19-1</f>
        <v>-0.26522872718653701</v>
      </c>
    </row>
    <row r="22" spans="1:10" x14ac:dyDescent="0.25">
      <c r="A22" s="8" t="s">
        <v>686</v>
      </c>
      <c r="B22" s="9"/>
      <c r="C22" s="9"/>
      <c r="D22" s="9"/>
      <c r="E22" s="9"/>
      <c r="F22" s="9"/>
      <c r="G22" s="9"/>
    </row>
    <row r="23" spans="1:10" x14ac:dyDescent="0.25">
      <c r="A23" s="47" t="s">
        <v>687</v>
      </c>
      <c r="B23" s="47" t="s">
        <v>623</v>
      </c>
      <c r="C23" s="47" t="s">
        <v>624</v>
      </c>
      <c r="D23" s="47" t="s">
        <v>688</v>
      </c>
      <c r="E23" s="47" t="s">
        <v>689</v>
      </c>
    </row>
    <row r="24" spans="1:10" x14ac:dyDescent="0.25">
      <c r="A24" s="10" t="s">
        <v>690</v>
      </c>
      <c r="B24" s="41">
        <f>B7</f>
        <v>27.45758868554713</v>
      </c>
      <c r="C24" s="41">
        <f>D7</f>
        <v>35.948066160290118</v>
      </c>
      <c r="D24" s="41">
        <f>C7</f>
        <v>31.115131399249627</v>
      </c>
      <c r="E24" s="41">
        <f t="shared" ref="E24:E31" si="0">C24-B24</f>
        <v>8.4904774747429883</v>
      </c>
    </row>
    <row r="25" spans="1:10" x14ac:dyDescent="0.25">
      <c r="A25" s="10" t="s">
        <v>691</v>
      </c>
      <c r="B25" s="53">
        <f>Sensitivity!D24</f>
        <v>29.521887586550104</v>
      </c>
      <c r="C25" s="53">
        <f>Sensitivity!F22</f>
        <v>38.329809132799213</v>
      </c>
      <c r="D25" s="53">
        <f>DCF!D76</f>
        <v>33.846369769899887</v>
      </c>
      <c r="E25" s="41">
        <f t="shared" si="0"/>
        <v>8.8079215462491085</v>
      </c>
    </row>
    <row r="26" spans="1:10" x14ac:dyDescent="0.25">
      <c r="A26" s="10" t="s">
        <v>692</v>
      </c>
      <c r="B26" s="53">
        <f>Sensitivity!D42</f>
        <v>22.055700000000002</v>
      </c>
      <c r="C26" s="53">
        <f>Sensitivity!B42</f>
        <v>39.707700000000003</v>
      </c>
      <c r="D26" s="53">
        <f>Sensitivity!C42</f>
        <v>31.115100000000002</v>
      </c>
      <c r="E26" s="41">
        <f t="shared" si="0"/>
        <v>17.652000000000001</v>
      </c>
    </row>
    <row r="27" spans="1:10" x14ac:dyDescent="0.25">
      <c r="A27" s="10" t="s">
        <v>693</v>
      </c>
      <c r="B27" s="41">
        <f>B8</f>
        <v>24.84233727141352</v>
      </c>
      <c r="C27" s="41">
        <f>D8</f>
        <v>36.351358807009078</v>
      </c>
      <c r="D27" s="41">
        <f>C8</f>
        <v>30.596848039211295</v>
      </c>
      <c r="E27" s="41">
        <f t="shared" si="0"/>
        <v>11.509021535595558</v>
      </c>
    </row>
    <row r="28" spans="1:10" x14ac:dyDescent="0.25">
      <c r="A28" s="10" t="s">
        <v>694</v>
      </c>
      <c r="B28" s="53">
        <f>Comps!F27</f>
        <v>17.269477824710346</v>
      </c>
      <c r="C28" s="53">
        <f>Comps!H27</f>
        <v>57.948718743108074</v>
      </c>
      <c r="D28" s="53">
        <f>Comps!G27</f>
        <v>26.543424532902513</v>
      </c>
      <c r="E28" s="41">
        <f t="shared" si="0"/>
        <v>40.679240918397724</v>
      </c>
    </row>
    <row r="29" spans="1:10" x14ac:dyDescent="0.25">
      <c r="A29" s="10" t="s">
        <v>695</v>
      </c>
      <c r="B29" s="53">
        <f>Comps!F29</f>
        <v>19.342525061003073</v>
      </c>
      <c r="C29" s="53">
        <f>Comps!H29</f>
        <v>41.833390002597532</v>
      </c>
      <c r="D29" s="53">
        <f>Comps!G29</f>
        <v>23.486070348929637</v>
      </c>
      <c r="E29" s="41">
        <f t="shared" si="0"/>
        <v>22.490864941594459</v>
      </c>
    </row>
    <row r="30" spans="1:10" x14ac:dyDescent="0.25">
      <c r="A30" s="10" t="s">
        <v>696</v>
      </c>
      <c r="B30" s="41">
        <f>B9</f>
        <v>28.446566260719177</v>
      </c>
      <c r="C30" s="41">
        <f>D9</f>
        <v>41.622180586582118</v>
      </c>
      <c r="D30" s="41">
        <f>C9</f>
        <v>35.034373423650642</v>
      </c>
      <c r="E30" s="41">
        <f t="shared" si="0"/>
        <v>13.175614325862941</v>
      </c>
    </row>
    <row r="31" spans="1:10" x14ac:dyDescent="0.25">
      <c r="A31" s="10" t="s">
        <v>697</v>
      </c>
      <c r="B31" s="30">
        <v>26</v>
      </c>
      <c r="C31" s="30">
        <v>64</v>
      </c>
      <c r="D31" s="53">
        <f>'DCF Inputs'!$C$53</f>
        <v>42.19</v>
      </c>
      <c r="E31" s="41">
        <f t="shared" si="0"/>
        <v>38</v>
      </c>
      <c r="J31" s="2" t="s">
        <v>698</v>
      </c>
    </row>
    <row r="32" spans="1:10" x14ac:dyDescent="0.25">
      <c r="A32" s="10" t="s">
        <v>699</v>
      </c>
      <c r="D32" s="41">
        <f>C13</f>
        <v>28.36</v>
      </c>
    </row>
    <row r="33" spans="1:7" x14ac:dyDescent="0.25">
      <c r="A33" s="10" t="s">
        <v>700</v>
      </c>
      <c r="D33" s="41">
        <f>C14</f>
        <v>31</v>
      </c>
    </row>
    <row r="35" spans="1:7" x14ac:dyDescent="0.25">
      <c r="A35" s="8" t="s">
        <v>701</v>
      </c>
      <c r="B35" s="9"/>
      <c r="C35" s="9"/>
      <c r="D35" s="9"/>
      <c r="E35" s="9"/>
      <c r="F35" s="9"/>
      <c r="G35" s="9"/>
    </row>
    <row r="36" spans="1:7" x14ac:dyDescent="0.25">
      <c r="A36" s="47" t="s">
        <v>348</v>
      </c>
      <c r="B36" s="47" t="s">
        <v>333</v>
      </c>
      <c r="C36" s="47" t="s">
        <v>334</v>
      </c>
      <c r="D36" s="47" t="s">
        <v>335</v>
      </c>
      <c r="E36" s="47" t="s">
        <v>702</v>
      </c>
      <c r="F36" s="47" t="s">
        <v>336</v>
      </c>
    </row>
    <row r="37" spans="1:7" x14ac:dyDescent="0.25">
      <c r="A37" s="10" t="s">
        <v>703</v>
      </c>
      <c r="B37" s="32">
        <v>0.25</v>
      </c>
      <c r="C37" s="32">
        <v>0.5</v>
      </c>
      <c r="D37" s="32">
        <v>0.25</v>
      </c>
      <c r="E37" s="14">
        <f>SUM(B37:D37)</f>
        <v>1</v>
      </c>
    </row>
    <row r="38" spans="1:7" x14ac:dyDescent="0.25">
      <c r="A38" s="10" t="s">
        <v>353</v>
      </c>
      <c r="B38" s="16">
        <v>0.13120799999999999</v>
      </c>
      <c r="C38" s="16">
        <v>9.8074999999999996E-2</v>
      </c>
      <c r="D38" s="16">
        <v>5.5632000000000001E-2</v>
      </c>
      <c r="F38" s="26">
        <f>Scenarios!E69</f>
        <v>9.8074522660948071E-2</v>
      </c>
    </row>
    <row r="39" spans="1:7" x14ac:dyDescent="0.25">
      <c r="A39" s="10" t="s">
        <v>356</v>
      </c>
      <c r="B39" s="16">
        <v>0.29016500000000001</v>
      </c>
      <c r="C39" s="16">
        <v>0.26326300000000002</v>
      </c>
      <c r="D39" s="16">
        <v>0.229018</v>
      </c>
      <c r="F39" s="26">
        <f>Scenarios!E72</f>
        <v>0.26326256238612467</v>
      </c>
    </row>
    <row r="40" spans="1:7" x14ac:dyDescent="0.25">
      <c r="A40" s="10" t="s">
        <v>704</v>
      </c>
      <c r="B40" s="38">
        <v>2.0481159999999998</v>
      </c>
      <c r="C40" s="38">
        <v>1.735474</v>
      </c>
      <c r="D40" s="38">
        <v>1.3408040000000001</v>
      </c>
      <c r="F40" s="27">
        <f>Scenarios!E76</f>
        <v>1.7354735537048434</v>
      </c>
    </row>
    <row r="41" spans="1:7" x14ac:dyDescent="0.25">
      <c r="A41" s="3" t="s">
        <v>705</v>
      </c>
      <c r="B41" s="30">
        <v>39.707700000000003</v>
      </c>
      <c r="C41" s="30">
        <v>31.115100000000002</v>
      </c>
      <c r="D41" s="30">
        <v>22.055700000000002</v>
      </c>
      <c r="E41" s="87">
        <f>SUMPRODUCT(B41:D41,B$37:D$37)</f>
        <v>30.998400000000004</v>
      </c>
      <c r="F41" s="63">
        <f>DCF!C76</f>
        <v>31.115131399249627</v>
      </c>
    </row>
    <row r="42" spans="1:7" x14ac:dyDescent="0.25">
      <c r="A42" s="3" t="s">
        <v>706</v>
      </c>
      <c r="B42" s="30">
        <v>36.502400000000002</v>
      </c>
      <c r="C42" s="30">
        <v>31.299700000000001</v>
      </c>
      <c r="D42" s="30">
        <v>25.616599999999998</v>
      </c>
      <c r="E42" s="87">
        <f>SUMPRODUCT(B42:D42,B$37:D$37)</f>
        <v>31.179600000000001</v>
      </c>
      <c r="F42" s="87">
        <f>C10</f>
        <v>31.299742257674396</v>
      </c>
    </row>
    <row r="43" spans="1:7" x14ac:dyDescent="0.25">
      <c r="A43" s="10" t="s">
        <v>707</v>
      </c>
      <c r="E43" s="14">
        <f>E42/C13-1</f>
        <v>9.9421720733427366E-2</v>
      </c>
    </row>
    <row r="44" spans="1:7" x14ac:dyDescent="0.25">
      <c r="A44" s="2" t="s">
        <v>708</v>
      </c>
    </row>
    <row r="46" spans="1:7" x14ac:dyDescent="0.25">
      <c r="A46" s="8" t="s">
        <v>709</v>
      </c>
      <c r="B46" s="9"/>
      <c r="C46" s="9"/>
      <c r="D46" s="9"/>
      <c r="E46" s="9"/>
      <c r="F46" s="9"/>
      <c r="G46" s="9"/>
    </row>
    <row r="47" spans="1:7" x14ac:dyDescent="0.25">
      <c r="A47" s="47" t="s">
        <v>710</v>
      </c>
      <c r="C47" s="47" t="s">
        <v>711</v>
      </c>
      <c r="D47" s="47" t="s">
        <v>712</v>
      </c>
    </row>
    <row r="48" spans="1:7" x14ac:dyDescent="0.25">
      <c r="A48" s="10" t="s">
        <v>713</v>
      </c>
      <c r="C48" s="26">
        <f>DCF!C62</f>
        <v>0.75120512745125745</v>
      </c>
      <c r="D48" s="2" t="s">
        <v>714</v>
      </c>
    </row>
    <row r="49" spans="1:4" x14ac:dyDescent="0.25">
      <c r="A49" s="10" t="s">
        <v>715</v>
      </c>
      <c r="C49" s="56">
        <f>DCF!C55</f>
        <v>9.9204689408171625</v>
      </c>
      <c r="D49" s="2" t="s">
        <v>716</v>
      </c>
    </row>
    <row r="50" spans="1:4" x14ac:dyDescent="0.25">
      <c r="A50" s="10" t="s">
        <v>717</v>
      </c>
      <c r="C50" s="26">
        <f>DCF!D55</f>
        <v>3.6646978051098969E-2</v>
      </c>
      <c r="D50" s="2" t="s">
        <v>718</v>
      </c>
    </row>
    <row r="51" spans="1:4" x14ac:dyDescent="0.25">
      <c r="A51" s="10" t="s">
        <v>719</v>
      </c>
      <c r="C51" s="26">
        <f>DCF!$C$26</f>
        <v>0.10199999999999999</v>
      </c>
      <c r="D51" s="2" t="s">
        <v>720</v>
      </c>
    </row>
    <row r="52" spans="1:4" x14ac:dyDescent="0.25">
      <c r="A52" s="10" t="s">
        <v>721</v>
      </c>
      <c r="C52" s="56">
        <f>(Comps!$E$22*1000+(C14-C13)*(DCF!$C$69+DCF!$C$70))/Comps!$G$22</f>
        <v>12.750583982202446</v>
      </c>
      <c r="D52" s="2" t="s">
        <v>722</v>
      </c>
    </row>
    <row r="53" spans="1:4" x14ac:dyDescent="0.25">
      <c r="A53" s="10" t="s">
        <v>723</v>
      </c>
      <c r="C53" s="56">
        <f>C14/(Comps!$L$22*Comps!$J$22+(1-Comps!$L$22)*Comps!$K$22)</f>
        <v>18.486580863329355</v>
      </c>
      <c r="D53" s="2" t="s">
        <v>724</v>
      </c>
    </row>
    <row r="54" spans="1:4" x14ac:dyDescent="0.25">
      <c r="A54" s="10" t="s">
        <v>725</v>
      </c>
      <c r="C54" s="56">
        <f>C13/(Comps!$L$22*Comps!$J$22+(1-Comps!$L$22)*Comps!$K$22)</f>
        <v>16.912239783355499</v>
      </c>
      <c r="D54" s="2" t="s">
        <v>726</v>
      </c>
    </row>
    <row r="55" spans="1:4" x14ac:dyDescent="0.25">
      <c r="A55" s="10" t="s">
        <v>727</v>
      </c>
      <c r="C55" s="26">
        <f>(((((((C13*(DCF!$C$69+DCF!$C$70)+DCF!$C$74))-DCF!$C$65+DCF!$C$66+DCF!$C$67)/DCF!$C$63)-DCF!$C$59)*(1+DCF!$C$26)^DCF!$C$53)*DCF!$C$26-DCF!$H$40)/(((((((C13*(DCF!$C$69+DCF!$C$70)+DCF!$C$74))-DCF!$C$65+DCF!$C$66+DCF!$C$67)/DCF!$C$63)-DCF!$C$59)*(1+DCF!$C$26)^DCF!$C$53)+DCF!$H$40)</f>
        <v>2.176834770142318E-2</v>
      </c>
      <c r="D55" s="2" t="s">
        <v>728</v>
      </c>
    </row>
    <row r="56" spans="1:4" x14ac:dyDescent="0.25">
      <c r="A56" s="10" t="s">
        <v>729</v>
      </c>
      <c r="C56" s="14">
        <f>C15</f>
        <v>9.3088857545839288E-2</v>
      </c>
      <c r="D56" s="2" t="s">
        <v>730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Revenue Model</vt:lpstr>
      <vt:lpstr>Income Statement</vt:lpstr>
      <vt:lpstr>Cash Flow</vt:lpstr>
      <vt:lpstr>Balance Sheet</vt:lpstr>
      <vt:lpstr>Scenarios</vt:lpstr>
      <vt:lpstr>DCF Inputs</vt:lpstr>
      <vt:lpstr>DCF</vt:lpstr>
      <vt:lpstr>Sensitivity</vt:lpstr>
      <vt:lpstr>Comps</vt:lpstr>
      <vt:lpstr>Valuation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Raihan Noor</cp:lastModifiedBy>
  <cp:revision>0</cp:revision>
  <dcterms:created xsi:type="dcterms:W3CDTF">2026-10-13T12:59:14Z</dcterms:created>
  <dcterms:modified xsi:type="dcterms:W3CDTF">2026-10-13T13:09:40Z</dcterms:modified>
  <dc:language>en-US</dc:language>
</cp:coreProperties>
</file>